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8700" activeTab="0"/>
  </bookViews>
  <sheets>
    <sheet name="MRCU" sheetId="1" r:id="rId1"/>
    <sheet name="Choix" sheetId="2" r:id="rId2"/>
    <sheet name="Notice" sheetId="3" r:id="rId3"/>
  </sheets>
  <definedNames/>
  <calcPr fullCalcOnLoad="1" refMode="R1C1"/>
</workbook>
</file>

<file path=xl/sharedStrings.xml><?xml version="1.0" encoding="utf-8"?>
<sst xmlns="http://schemas.openxmlformats.org/spreadsheetml/2006/main" count="202" uniqueCount="66">
  <si>
    <t>Terminale</t>
  </si>
  <si>
    <t>Seconde</t>
  </si>
  <si>
    <t>Première</t>
  </si>
  <si>
    <t>Année</t>
  </si>
  <si>
    <t>Discipline professeur</t>
  </si>
  <si>
    <t>Métiers de la relation aux clients et aux usagers</t>
  </si>
  <si>
    <t>Commerce</t>
  </si>
  <si>
    <t>Economie-Droit</t>
  </si>
  <si>
    <t>Classe</t>
  </si>
  <si>
    <t>Horaires élève enseignement professionnel</t>
  </si>
  <si>
    <t>Animer</t>
  </si>
  <si>
    <t>Gérer</t>
  </si>
  <si>
    <t>Vendre</t>
  </si>
  <si>
    <t>Vente</t>
  </si>
  <si>
    <t>Services</t>
  </si>
  <si>
    <t>Pratiques et techniques relationnelles</t>
  </si>
  <si>
    <t>Démarche commerciale</t>
  </si>
  <si>
    <t>Organisation</t>
  </si>
  <si>
    <t>Adaptation à l'environnement de travail</t>
  </si>
  <si>
    <t>Pôles de formation</t>
  </si>
  <si>
    <t>Prospection et suivi de clientèles</t>
  </si>
  <si>
    <t>Communication - Négociation</t>
  </si>
  <si>
    <t>TIC appliquées à la vente</t>
  </si>
  <si>
    <t>Mercatique</t>
  </si>
  <si>
    <t>Vente-CAB-CB</t>
  </si>
  <si>
    <t>Champ professionnel</t>
  </si>
  <si>
    <t>Vente / CAB</t>
  </si>
  <si>
    <t>Effectifs</t>
  </si>
  <si>
    <t>Total seconde heures élève</t>
  </si>
  <si>
    <t>Total heures professeur requises par semaine</t>
  </si>
  <si>
    <t>Total heures professeur requises par année</t>
  </si>
  <si>
    <t>Ecart</t>
  </si>
  <si>
    <t>Dotation attribuée en heures professeur par année</t>
  </si>
  <si>
    <t>Total première heures élève</t>
  </si>
  <si>
    <t>Total terminale heures élève</t>
  </si>
  <si>
    <t>Première : Total heures professeur requises par semaine</t>
  </si>
  <si>
    <t>Première :Total heures professeur requises par année</t>
  </si>
  <si>
    <t>Première : Dotation attribuée en heures professeur par année</t>
  </si>
  <si>
    <t>Première : Ecart</t>
  </si>
  <si>
    <t>Total heures élève 3 ans</t>
  </si>
  <si>
    <t>Terminale : Total heures professeur requises par semaine</t>
  </si>
  <si>
    <t>Terminale :Total heures professeur requises par année</t>
  </si>
  <si>
    <t>Terminale : Dotation attribuée en heures professeur par année</t>
  </si>
  <si>
    <t>Terminale : Ecart</t>
  </si>
  <si>
    <t>Cumul écart sur 3 ans(excédent = +)</t>
  </si>
  <si>
    <t>&lt;19</t>
  </si>
  <si>
    <t>&gt;28</t>
  </si>
  <si>
    <t>Horaire hebdomadaire</t>
  </si>
  <si>
    <t>&gt;18&lt;28</t>
  </si>
  <si>
    <t>PFMP</t>
  </si>
  <si>
    <t>LP</t>
  </si>
  <si>
    <t>Horaire hebdo</t>
  </si>
  <si>
    <t>Horaire annuel</t>
  </si>
  <si>
    <t>Total</t>
  </si>
  <si>
    <t>Semaines et horaire</t>
  </si>
  <si>
    <t>Ce dossier est constitué de 3 feuilles :</t>
  </si>
  <si>
    <r>
      <t>►</t>
    </r>
    <r>
      <rPr>
        <sz val="10"/>
        <rFont val="Arial"/>
        <family val="0"/>
      </rPr>
      <t xml:space="preserve"> une notice qui donne des explications sur l'usage de cet outil</t>
    </r>
  </si>
  <si>
    <t>Cet outil n'a pas vocation à produire des modèles de répartition des horaires d'enseignement, mais à accompagner les équipes pédagogiques dans l'élaboration de leur projet. Chaque hypothèse peut alors être étudiée et intégrée dans un cadre qui permet d'en évaluer le coût horaire et de s'assurer que la charge prévue est compatible avec la dotation qu'a reçue l'établissement.</t>
  </si>
  <si>
    <t>Cet outil est perfectible et je resterai attentif aux propositions faites par les usagers.</t>
  </si>
  <si>
    <t>Quels choix faire à la rentrée 2009 dans l'organisation de la formation conduisant aux trois bacs pros du champ professionnel MRCU (métiers de la relation aux clients et aux usagers) ?</t>
  </si>
  <si>
    <t xml:space="preserve">► une feuille "choix" qui permet, à partir de plusieurs exemples de simuler plusieurs possibilités de répartition des PFMP et des volumes horaires élève hebdomadaires. </t>
  </si>
  <si>
    <t>► une feuille MRCU qui permet de réaliser des simulations de répartition des horaires d'enseignements professionnels sur les 3 années du cursus. Cette feuille comporte des cellules de couleur qui sont les seules à pouvoir varier. Ainsi on peut choisir le nombre de semaines de PFMP en classe de seconde,  puis en classe de première, le nombre de semaines de PFMP de la classe de terminale est obtenu par différence. Le nombre à reporter est le nombre de semaines de formation au LP obtenu par différence (36 - PFMP en seconde; 36 - PFMP en première). Le principe est le même pour les horaires hebdomadaires. 1152 heures sont disponibles sur 3 ans et à répartir en 84 semaines. Les choix sont à opérer en classes de seconde et de première, la classe de terminale assure le complément.</t>
  </si>
  <si>
    <t>Accueil et information du client et de l'usager</t>
  </si>
  <si>
    <t>Suivi, prospection du client ou contact avec l'usager</t>
  </si>
  <si>
    <t>Conduite d'un entretien de vente</t>
  </si>
  <si>
    <t>Méthodologie et construction du projet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</si>
</sst>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6">
    <font>
      <sz val="10"/>
      <name val="Arial"/>
      <family val="0"/>
    </font>
    <font>
      <sz val="8"/>
      <name val="Arial"/>
      <family val="0"/>
    </font>
    <font>
      <b/>
      <sz val="14"/>
      <color indexed="8"/>
      <name val="Arial"/>
      <family val="2"/>
    </font>
    <font>
      <b/>
      <sz val="14"/>
      <name val="Arial"/>
      <family val="0"/>
    </font>
    <font>
      <b/>
      <sz val="10"/>
      <name val="Arial"/>
      <family val="2"/>
    </font>
    <font>
      <sz val="9"/>
      <name val="Arial"/>
      <family val="0"/>
    </font>
  </fonts>
  <fills count="3">
    <fill>
      <patternFill/>
    </fill>
    <fill>
      <patternFill patternType="gray125"/>
    </fill>
    <fill>
      <patternFill patternType="solid">
        <fgColor indexed="13"/>
        <bgColor indexed="64"/>
      </patternFill>
    </fill>
  </fills>
  <borders count="62">
    <border>
      <left/>
      <right/>
      <top/>
      <bottom/>
      <diagonal/>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66" fontId="0" fillId="0" borderId="1" xfId="0" applyNumberFormat="1" applyBorder="1" applyAlignment="1" applyProtection="1">
      <alignment horizontal="center" vertical="center"/>
      <protection/>
    </xf>
    <xf numFmtId="166" fontId="0" fillId="0" borderId="2" xfId="0" applyNumberFormat="1" applyBorder="1" applyAlignment="1" applyProtection="1">
      <alignment horizontal="center" vertical="center"/>
      <protection/>
    </xf>
    <xf numFmtId="166" fontId="0" fillId="0" borderId="3" xfId="0" applyNumberFormat="1" applyBorder="1" applyAlignment="1" applyProtection="1">
      <alignment horizontal="center" vertical="center"/>
      <protection/>
    </xf>
    <xf numFmtId="166" fontId="0" fillId="0" borderId="4" xfId="0" applyNumberFormat="1" applyFill="1" applyBorder="1" applyAlignment="1" applyProtection="1">
      <alignment horizontal="center" vertical="center"/>
      <protection/>
    </xf>
    <xf numFmtId="166" fontId="0" fillId="0" borderId="5" xfId="0" applyNumberFormat="1" applyFill="1" applyBorder="1" applyAlignment="1" applyProtection="1">
      <alignment horizontal="center" vertical="center"/>
      <protection/>
    </xf>
    <xf numFmtId="166" fontId="0" fillId="0" borderId="6" xfId="0" applyNumberFormat="1" applyFill="1" applyBorder="1" applyAlignment="1" applyProtection="1">
      <alignment horizontal="center" vertical="center"/>
      <protection/>
    </xf>
    <xf numFmtId="166" fontId="0" fillId="0" borderId="7" xfId="0" applyNumberFormat="1" applyFill="1" applyBorder="1" applyAlignment="1" applyProtection="1">
      <alignment horizontal="center" vertical="center"/>
      <protection/>
    </xf>
    <xf numFmtId="166" fontId="0" fillId="0" borderId="8" xfId="0" applyNumberFormat="1" applyBorder="1" applyAlignment="1" applyProtection="1">
      <alignment horizontal="center" vertical="center"/>
      <protection/>
    </xf>
    <xf numFmtId="166" fontId="0" fillId="0" borderId="9" xfId="0" applyNumberFormat="1" applyBorder="1" applyAlignment="1" applyProtection="1">
      <alignment horizontal="center" vertical="center"/>
      <protection/>
    </xf>
    <xf numFmtId="166" fontId="0" fillId="0" borderId="10" xfId="0" applyNumberFormat="1" applyBorder="1" applyAlignment="1" applyProtection="1">
      <alignment horizontal="center" vertical="center"/>
      <protection/>
    </xf>
    <xf numFmtId="166" fontId="0" fillId="0" borderId="11" xfId="0" applyNumberFormat="1" applyBorder="1" applyAlignment="1" applyProtection="1">
      <alignment horizontal="center" vertical="center"/>
      <protection/>
    </xf>
    <xf numFmtId="166" fontId="0" fillId="0" borderId="11" xfId="0" applyNumberFormat="1" applyFill="1" applyBorder="1" applyAlignment="1" applyProtection="1">
      <alignment horizontal="center" vertical="center"/>
      <protection/>
    </xf>
    <xf numFmtId="166" fontId="0" fillId="0" borderId="12" xfId="0" applyNumberFormat="1" applyBorder="1" applyAlignment="1" applyProtection="1">
      <alignment horizontal="center" vertical="center"/>
      <protection/>
    </xf>
    <xf numFmtId="166" fontId="0" fillId="0" borderId="13" xfId="0" applyNumberFormat="1" applyFill="1" applyBorder="1" applyAlignment="1" applyProtection="1">
      <alignment horizontal="center" vertical="center"/>
      <protection/>
    </xf>
    <xf numFmtId="166" fontId="0" fillId="0" borderId="8" xfId="0" applyNumberFormat="1" applyFill="1" applyBorder="1" applyAlignment="1" applyProtection="1">
      <alignment horizontal="center" vertical="center"/>
      <protection/>
    </xf>
    <xf numFmtId="166" fontId="0" fillId="0" borderId="9" xfId="0" applyNumberFormat="1" applyFill="1" applyBorder="1" applyAlignment="1" applyProtection="1">
      <alignment horizontal="center" vertical="center"/>
      <protection/>
    </xf>
    <xf numFmtId="166" fontId="0" fillId="0" borderId="12" xfId="0" applyNumberFormat="1" applyFill="1" applyBorder="1" applyAlignment="1" applyProtection="1">
      <alignment horizontal="center" vertical="center"/>
      <protection/>
    </xf>
    <xf numFmtId="166" fontId="0" fillId="0" borderId="14" xfId="0" applyNumberFormat="1" applyFill="1" applyBorder="1" applyAlignment="1" applyProtection="1">
      <alignment horizontal="center" vertical="center"/>
      <protection/>
    </xf>
    <xf numFmtId="166" fontId="0" fillId="0" borderId="15" xfId="0" applyNumberFormat="1" applyFill="1" applyBorder="1" applyAlignment="1" applyProtection="1">
      <alignment horizontal="center" vertical="center"/>
      <protection/>
    </xf>
    <xf numFmtId="166" fontId="0" fillId="0" borderId="16" xfId="0" applyNumberFormat="1" applyFill="1" applyBorder="1" applyAlignment="1" applyProtection="1">
      <alignment horizontal="center" vertical="center" wrapText="1"/>
      <protection/>
    </xf>
    <xf numFmtId="166" fontId="0" fillId="0" borderId="1" xfId="0" applyNumberFormat="1" applyFill="1" applyBorder="1" applyAlignment="1" applyProtection="1">
      <alignment horizontal="center" vertical="center"/>
      <protection/>
    </xf>
    <xf numFmtId="166" fontId="0" fillId="0" borderId="2" xfId="0" applyNumberFormat="1" applyFill="1" applyBorder="1" applyAlignment="1" applyProtection="1">
      <alignment horizontal="center" vertical="center"/>
      <protection/>
    </xf>
    <xf numFmtId="166" fontId="0" fillId="0" borderId="15" xfId="0" applyNumberFormat="1" applyBorder="1" applyAlignment="1" applyProtection="1">
      <alignment horizontal="center" vertical="center"/>
      <protection/>
    </xf>
    <xf numFmtId="0" fontId="0" fillId="0" borderId="0" xfId="0" applyFill="1" applyAlignment="1">
      <alignment horizontal="center" vertical="center"/>
    </xf>
    <xf numFmtId="166" fontId="0" fillId="0" borderId="17" xfId="0" applyNumberFormat="1" applyFill="1" applyBorder="1" applyAlignment="1" applyProtection="1">
      <alignment horizontal="center" vertical="center"/>
      <protection/>
    </xf>
    <xf numFmtId="166" fontId="0" fillId="0" borderId="18" xfId="0" applyNumberFormat="1" applyFill="1" applyBorder="1" applyAlignment="1" applyProtection="1">
      <alignment horizontal="center" vertical="center"/>
      <protection/>
    </xf>
    <xf numFmtId="166" fontId="0" fillId="0" borderId="19" xfId="0" applyNumberFormat="1" applyFill="1" applyBorder="1" applyAlignment="1" applyProtection="1">
      <alignment horizontal="center" vertical="center"/>
      <protection/>
    </xf>
    <xf numFmtId="166" fontId="0" fillId="0" borderId="20" xfId="0" applyNumberFormat="1" applyFill="1" applyBorder="1" applyAlignment="1" applyProtection="1">
      <alignment horizontal="center" vertical="center"/>
      <protection/>
    </xf>
    <xf numFmtId="166" fontId="0" fillId="0" borderId="17" xfId="0" applyNumberFormat="1" applyBorder="1" applyAlignment="1" applyProtection="1">
      <alignment horizontal="center" vertical="center"/>
      <protection/>
    </xf>
    <xf numFmtId="166" fontId="0" fillId="0" borderId="18" xfId="0" applyNumberFormat="1" applyBorder="1" applyAlignment="1" applyProtection="1">
      <alignment horizontal="center" vertical="center"/>
      <protection/>
    </xf>
    <xf numFmtId="166" fontId="0" fillId="0" borderId="21" xfId="0" applyNumberForma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0" fillId="2" borderId="20" xfId="0" applyFill="1" applyBorder="1" applyAlignment="1" applyProtection="1">
      <alignment horizontal="center" vertical="center"/>
      <protection locked="0"/>
    </xf>
    <xf numFmtId="166" fontId="4" fillId="2" borderId="11" xfId="0" applyNumberFormat="1"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vertical="center"/>
    </xf>
    <xf numFmtId="0" fontId="3" fillId="2" borderId="11" xfId="0" applyFont="1" applyFill="1" applyBorder="1" applyAlignment="1" applyProtection="1">
      <alignment vertical="center"/>
      <protection locked="0"/>
    </xf>
    <xf numFmtId="0" fontId="3" fillId="0" borderId="0" xfId="0" applyFont="1" applyAlignment="1">
      <alignment vertical="center"/>
    </xf>
    <xf numFmtId="0" fontId="3" fillId="2" borderId="11" xfId="0" applyFont="1" applyFill="1" applyBorder="1" applyAlignment="1">
      <alignment vertical="center"/>
    </xf>
    <xf numFmtId="0" fontId="0" fillId="2" borderId="23" xfId="0" applyFill="1" applyBorder="1" applyAlignment="1">
      <alignment/>
    </xf>
    <xf numFmtId="0" fontId="0" fillId="2" borderId="22" xfId="0" applyFill="1" applyBorder="1" applyAlignment="1">
      <alignment/>
    </xf>
    <xf numFmtId="0" fontId="0" fillId="2" borderId="24" xfId="0" applyFill="1" applyBorder="1" applyAlignment="1">
      <alignment/>
    </xf>
    <xf numFmtId="0" fontId="0" fillId="2" borderId="25"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2" borderId="25" xfId="0" applyFill="1" applyBorder="1" applyAlignment="1">
      <alignment/>
    </xf>
    <xf numFmtId="0" fontId="0" fillId="2" borderId="0" xfId="0" applyFill="1" applyBorder="1" applyAlignment="1">
      <alignment/>
    </xf>
    <xf numFmtId="0" fontId="0" fillId="2" borderId="26" xfId="0" applyFill="1" applyBorder="1" applyAlignment="1">
      <alignment/>
    </xf>
    <xf numFmtId="0" fontId="0" fillId="2" borderId="25" xfId="0" applyFont="1" applyFill="1" applyBorder="1" applyAlignment="1">
      <alignment/>
    </xf>
    <xf numFmtId="0" fontId="0" fillId="2" borderId="25" xfId="0" applyFill="1" applyBorder="1" applyAlignment="1">
      <alignment vertical="center" wrapText="1"/>
    </xf>
    <xf numFmtId="0" fontId="0" fillId="2" borderId="0" xfId="0" applyFill="1" applyBorder="1" applyAlignment="1">
      <alignment vertical="center" wrapText="1"/>
    </xf>
    <xf numFmtId="0" fontId="0" fillId="2" borderId="26" xfId="0" applyFill="1" applyBorder="1" applyAlignment="1">
      <alignment vertical="center" wrapText="1"/>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166" fontId="0" fillId="0" borderId="16" xfId="0" applyNumberFormat="1" applyFill="1" applyBorder="1" applyAlignment="1" applyProtection="1">
      <alignment horizontal="center" vertical="center"/>
      <protection/>
    </xf>
    <xf numFmtId="166" fontId="0" fillId="0" borderId="8" xfId="0" applyNumberFormat="1" applyFill="1" applyBorder="1" applyAlignment="1" applyProtection="1">
      <alignment horizontal="center" vertical="center"/>
      <protection/>
    </xf>
    <xf numFmtId="166" fontId="0" fillId="0" borderId="1" xfId="0" applyNumberFormat="1" applyBorder="1" applyAlignment="1" applyProtection="1">
      <alignment horizontal="center" vertical="center"/>
      <protection/>
    </xf>
    <xf numFmtId="166" fontId="0" fillId="0" borderId="2" xfId="0" applyNumberFormat="1" applyBorder="1" applyAlignment="1" applyProtection="1">
      <alignment horizontal="center" vertical="center"/>
      <protection/>
    </xf>
    <xf numFmtId="166" fontId="0" fillId="0" borderId="8" xfId="0" applyNumberFormat="1" applyBorder="1" applyAlignment="1" applyProtection="1">
      <alignment horizontal="center" vertical="center"/>
      <protection/>
    </xf>
    <xf numFmtId="166" fontId="0" fillId="0" borderId="9" xfId="0" applyNumberFormat="1" applyBorder="1" applyAlignment="1" applyProtection="1">
      <alignment horizontal="center" vertical="center"/>
      <protection/>
    </xf>
    <xf numFmtId="166" fontId="0" fillId="0" borderId="32" xfId="0" applyNumberFormat="1" applyBorder="1" applyAlignment="1" applyProtection="1">
      <alignment horizontal="center" vertical="center"/>
      <protection/>
    </xf>
    <xf numFmtId="166" fontId="0" fillId="0" borderId="33" xfId="0" applyNumberForma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166" fontId="0" fillId="0" borderId="16" xfId="0" applyNumberFormat="1" applyFill="1" applyBorder="1" applyAlignment="1" applyProtection="1">
      <alignment horizontal="center" vertical="center"/>
      <protection/>
    </xf>
    <xf numFmtId="166" fontId="0" fillId="0" borderId="30" xfId="0" applyNumberFormat="1" applyFill="1" applyBorder="1" applyAlignment="1" applyProtection="1">
      <alignment horizontal="center" vertical="center"/>
      <protection/>
    </xf>
    <xf numFmtId="166" fontId="0" fillId="0" borderId="31" xfId="0" applyNumberFormat="1" applyFill="1" applyBorder="1" applyAlignment="1" applyProtection="1">
      <alignment horizontal="center" vertical="center"/>
      <protection/>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pplyProtection="1">
      <alignment horizontal="center" vertical="center"/>
      <protection/>
    </xf>
    <xf numFmtId="0" fontId="2" fillId="0" borderId="37"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36" xfId="0" applyFont="1" applyBorder="1" applyAlignment="1">
      <alignment horizontal="center" vertical="center" textRotation="90"/>
    </xf>
    <xf numFmtId="0" fontId="3" fillId="0" borderId="5" xfId="0" applyFont="1" applyBorder="1" applyAlignment="1" applyProtection="1">
      <alignment horizontal="center" vertical="center" textRotation="90"/>
      <protection/>
    </xf>
    <xf numFmtId="0" fontId="3" fillId="0" borderId="13" xfId="0" applyFont="1" applyBorder="1" applyAlignment="1" applyProtection="1">
      <alignment horizontal="center" vertical="center" textRotation="90"/>
      <protection/>
    </xf>
    <xf numFmtId="0" fontId="3" fillId="0" borderId="36" xfId="0" applyFont="1" applyBorder="1" applyAlignment="1" applyProtection="1">
      <alignment horizontal="center" vertical="center" textRotation="90"/>
      <protection/>
    </xf>
    <xf numFmtId="166" fontId="0" fillId="0" borderId="38" xfId="0" applyNumberFormat="1" applyFill="1" applyBorder="1" applyAlignment="1" applyProtection="1">
      <alignment horizontal="center" vertical="center"/>
      <protection/>
    </xf>
    <xf numFmtId="166" fontId="0" fillId="0" borderId="39" xfId="0" applyNumberFormat="1" applyFill="1" applyBorder="1" applyAlignment="1" applyProtection="1">
      <alignment horizontal="center" vertical="center"/>
      <protection/>
    </xf>
    <xf numFmtId="166" fontId="0" fillId="0" borderId="11" xfId="0" applyNumberFormat="1" applyFill="1" applyBorder="1" applyAlignment="1" applyProtection="1">
      <alignment horizontal="center" vertical="center"/>
      <protection/>
    </xf>
    <xf numFmtId="166" fontId="0" fillId="0" borderId="12" xfId="0" applyNumberFormat="1" applyFill="1" applyBorder="1" applyAlignment="1" applyProtection="1">
      <alignment horizontal="center" vertical="center"/>
      <protection/>
    </xf>
    <xf numFmtId="166" fontId="0" fillId="0" borderId="9" xfId="0" applyNumberForma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42" xfId="0" applyBorder="1" applyAlignment="1" applyProtection="1">
      <alignment horizontal="center" vertical="center"/>
      <protection/>
    </xf>
    <xf numFmtId="166" fontId="0" fillId="0" borderId="32" xfId="0" applyNumberFormat="1" applyFill="1" applyBorder="1" applyAlignment="1" applyProtection="1">
      <alignment horizontal="center" vertical="center"/>
      <protection/>
    </xf>
    <xf numFmtId="166" fontId="0" fillId="0" borderId="33" xfId="0" applyNumberFormat="1" applyFill="1" applyBorder="1" applyAlignment="1" applyProtection="1">
      <alignment horizontal="center" vertical="center"/>
      <protection/>
    </xf>
    <xf numFmtId="166" fontId="0" fillId="0" borderId="10" xfId="0" applyNumberFormat="1" applyBorder="1" applyAlignment="1" applyProtection="1">
      <alignment horizontal="center" vertical="center"/>
      <protection/>
    </xf>
    <xf numFmtId="166" fontId="0" fillId="0" borderId="11" xfId="0" applyNumberFormat="1" applyBorder="1" applyAlignment="1" applyProtection="1">
      <alignment horizontal="center" vertical="center"/>
      <protection/>
    </xf>
    <xf numFmtId="166" fontId="0" fillId="0" borderId="12" xfId="0" applyNumberFormat="1" applyBorder="1" applyAlignment="1" applyProtection="1">
      <alignment horizontal="center" vertical="center"/>
      <protection/>
    </xf>
    <xf numFmtId="166" fontId="0" fillId="0" borderId="43" xfId="0" applyNumberFormat="1" applyFill="1" applyBorder="1" applyAlignment="1" applyProtection="1">
      <alignment horizontal="center" vertical="center"/>
      <protection/>
    </xf>
    <xf numFmtId="166" fontId="0" fillId="0" borderId="44" xfId="0" applyNumberFormat="1" applyFill="1" applyBorder="1" applyAlignment="1" applyProtection="1">
      <alignment horizontal="center" vertical="center"/>
      <protection/>
    </xf>
    <xf numFmtId="166" fontId="0" fillId="0" borderId="45" xfId="0" applyNumberFormat="1" applyFill="1" applyBorder="1" applyAlignment="1" applyProtection="1">
      <alignment horizontal="center" vertical="center"/>
      <protection/>
    </xf>
    <xf numFmtId="166" fontId="0" fillId="0" borderId="1" xfId="0" applyNumberFormat="1" applyFill="1" applyBorder="1" applyAlignment="1" applyProtection="1">
      <alignment horizontal="center" vertical="center"/>
      <protection/>
    </xf>
    <xf numFmtId="166" fontId="0" fillId="0" borderId="15" xfId="0" applyNumberFormat="1" applyFill="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166" fontId="0" fillId="0" borderId="50" xfId="0" applyNumberFormat="1" applyBorder="1" applyAlignment="1" applyProtection="1">
      <alignment horizontal="center" vertical="center"/>
      <protection/>
    </xf>
    <xf numFmtId="166" fontId="0" fillId="0" borderId="43" xfId="0" applyNumberFormat="1" applyBorder="1" applyAlignment="1" applyProtection="1">
      <alignment horizontal="center" vertical="center"/>
      <protection/>
    </xf>
    <xf numFmtId="166" fontId="0" fillId="0" borderId="51" xfId="0" applyNumberFormat="1" applyBorder="1" applyAlignment="1" applyProtection="1">
      <alignment horizontal="center" vertical="center"/>
      <protection/>
    </xf>
    <xf numFmtId="0" fontId="1" fillId="0" borderId="43"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166" fontId="0" fillId="0" borderId="52" xfId="0" applyNumberFormat="1" applyFill="1" applyBorder="1" applyAlignment="1" applyProtection="1">
      <alignment horizontal="center" vertical="center"/>
      <protection/>
    </xf>
    <xf numFmtId="166" fontId="0" fillId="0" borderId="53" xfId="0" applyNumberFormat="1" applyFill="1" applyBorder="1" applyAlignment="1" applyProtection="1">
      <alignment horizontal="center" vertical="center"/>
      <protection/>
    </xf>
    <xf numFmtId="166" fontId="3" fillId="0" borderId="23" xfId="0" applyNumberFormat="1" applyFont="1" applyBorder="1" applyAlignment="1" applyProtection="1">
      <alignment horizontal="center" vertical="center" textRotation="90"/>
      <protection/>
    </xf>
    <xf numFmtId="166" fontId="3" fillId="0" borderId="25" xfId="0" applyNumberFormat="1" applyFont="1" applyBorder="1" applyAlignment="1" applyProtection="1">
      <alignment horizontal="center" vertical="center" textRotation="90"/>
      <protection/>
    </xf>
    <xf numFmtId="0" fontId="3" fillId="0" borderId="14" xfId="0" applyFont="1" applyBorder="1" applyAlignment="1" applyProtection="1">
      <alignment horizontal="center" vertical="center" textRotation="90"/>
      <protection/>
    </xf>
    <xf numFmtId="166" fontId="0" fillId="0" borderId="48" xfId="0" applyNumberFormat="1" applyFill="1" applyBorder="1" applyAlignment="1" applyProtection="1">
      <alignment horizontal="center" vertical="center"/>
      <protection/>
    </xf>
    <xf numFmtId="166" fontId="0" fillId="0" borderId="54" xfId="0" applyNumberFormat="1" applyFill="1" applyBorder="1" applyAlignment="1" applyProtection="1">
      <alignment horizontal="center" vertical="center"/>
      <protection/>
    </xf>
    <xf numFmtId="166" fontId="0" fillId="0" borderId="52" xfId="0" applyNumberFormat="1" applyBorder="1" applyAlignment="1" applyProtection="1">
      <alignment horizontal="center" vertical="center"/>
      <protection/>
    </xf>
    <xf numFmtId="0" fontId="0" fillId="2" borderId="25"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2" borderId="25" xfId="0" applyFill="1" applyBorder="1" applyAlignment="1">
      <alignment horizontal="left" vertical="top" wrapText="1"/>
    </xf>
    <xf numFmtId="0" fontId="0" fillId="2" borderId="0" xfId="0" applyFill="1" applyBorder="1" applyAlignment="1">
      <alignment horizontal="left" vertical="top" wrapText="1"/>
    </xf>
    <xf numFmtId="0" fontId="0" fillId="2" borderId="26" xfId="0" applyFill="1" applyBorder="1" applyAlignment="1">
      <alignment horizontal="left" vertical="top" wrapText="1"/>
    </xf>
    <xf numFmtId="166" fontId="4" fillId="2" borderId="44" xfId="0" applyNumberFormat="1" applyFont="1" applyFill="1" applyBorder="1" applyAlignment="1" applyProtection="1">
      <alignment horizontal="center" vertical="center"/>
      <protection locked="0"/>
    </xf>
    <xf numFmtId="166" fontId="0" fillId="0" borderId="13" xfId="0" applyNumberFormat="1" applyBorder="1" applyAlignment="1" applyProtection="1">
      <alignment horizontal="center" vertical="center"/>
      <protection/>
    </xf>
    <xf numFmtId="166" fontId="5" fillId="0" borderId="16" xfId="0" applyNumberFormat="1" applyFont="1" applyFill="1" applyBorder="1" applyAlignment="1" applyProtection="1">
      <alignment horizontal="center" vertical="center" wrapText="1"/>
      <protection/>
    </xf>
    <xf numFmtId="166" fontId="5" fillId="0" borderId="55" xfId="0" applyNumberFormat="1" applyFont="1" applyBorder="1" applyAlignment="1" applyProtection="1">
      <alignment horizontal="center" vertical="center" wrapText="1"/>
      <protection/>
    </xf>
    <xf numFmtId="166" fontId="5" fillId="0" borderId="56" xfId="0" applyNumberFormat="1" applyFont="1" applyBorder="1" applyAlignment="1" applyProtection="1">
      <alignment horizontal="center" vertical="center" wrapText="1"/>
      <protection/>
    </xf>
    <xf numFmtId="166" fontId="5" fillId="0" borderId="57" xfId="0" applyNumberFormat="1" applyFont="1" applyBorder="1" applyAlignment="1" applyProtection="1">
      <alignment horizontal="center" vertical="center" wrapText="1"/>
      <protection/>
    </xf>
    <xf numFmtId="166" fontId="0" fillId="2" borderId="4" xfId="0" applyNumberFormat="1" applyFont="1" applyFill="1" applyBorder="1" applyAlignment="1" applyProtection="1">
      <alignment horizontal="center" vertical="center"/>
      <protection locked="0"/>
    </xf>
    <xf numFmtId="166" fontId="0" fillId="2" borderId="58" xfId="0" applyNumberFormat="1" applyFont="1" applyFill="1" applyBorder="1" applyAlignment="1" applyProtection="1">
      <alignment horizontal="center" vertical="center"/>
      <protection locked="0"/>
    </xf>
    <xf numFmtId="166" fontId="0" fillId="0" borderId="59" xfId="0" applyNumberFormat="1" applyFont="1" applyFill="1" applyBorder="1" applyAlignment="1" applyProtection="1">
      <alignment horizontal="center" vertical="center"/>
      <protection/>
    </xf>
    <xf numFmtId="166" fontId="0" fillId="0" borderId="60" xfId="0" applyNumberFormat="1" applyFont="1" applyFill="1" applyBorder="1" applyAlignment="1" applyProtection="1">
      <alignment horizontal="center" vertical="center"/>
      <protection/>
    </xf>
    <xf numFmtId="166" fontId="0" fillId="0" borderId="58" xfId="0" applyNumberFormat="1" applyFont="1" applyFill="1" applyBorder="1" applyAlignment="1" applyProtection="1">
      <alignment horizontal="center" vertical="center"/>
      <protection/>
    </xf>
    <xf numFmtId="166" fontId="0" fillId="0" borderId="6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166" fontId="4" fillId="0" borderId="4" xfId="0" applyNumberFormat="1" applyFont="1" applyFill="1" applyBorder="1" applyAlignment="1" applyProtection="1">
      <alignment horizontal="center" vertical="center"/>
      <protection/>
    </xf>
    <xf numFmtId="166" fontId="0" fillId="0" borderId="16" xfId="0" applyNumberFormat="1" applyBorder="1" applyAlignment="1" applyProtection="1">
      <alignment horizontal="center" vertical="center"/>
      <protection/>
    </xf>
    <xf numFmtId="166" fontId="0" fillId="0" borderId="61" xfId="0" applyNumberFormat="1" applyBorder="1" applyAlignment="1" applyProtection="1">
      <alignment horizontal="center" vertical="center"/>
      <protection/>
    </xf>
    <xf numFmtId="166" fontId="4" fillId="0" borderId="59" xfId="0" applyNumberFormat="1" applyFont="1" applyFill="1" applyBorder="1" applyAlignment="1" applyProtection="1">
      <alignment horizontal="center" vertical="center"/>
      <protection/>
    </xf>
    <xf numFmtId="166" fontId="4" fillId="0" borderId="60" xfId="0" applyNumberFormat="1" applyFont="1" applyFill="1" applyBorder="1" applyAlignment="1" applyProtection="1">
      <alignment horizontal="center" vertical="center"/>
      <protection/>
    </xf>
    <xf numFmtId="166" fontId="0" fillId="0" borderId="61" xfId="0" applyNumberFormat="1" applyFill="1" applyBorder="1" applyAlignment="1" applyProtection="1">
      <alignment horizontal="center" vertical="center"/>
      <protection/>
    </xf>
    <xf numFmtId="166" fontId="0" fillId="0" borderId="10" xfId="0" applyNumberFormat="1" applyFill="1" applyBorder="1" applyAlignment="1" applyProtection="1">
      <alignment horizontal="center" vertical="center"/>
      <protection/>
    </xf>
    <xf numFmtId="166" fontId="4" fillId="2" borderId="59" xfId="0" applyNumberFormat="1" applyFont="1" applyFill="1" applyBorder="1" applyAlignment="1" applyProtection="1">
      <alignment horizontal="center" vertical="center"/>
      <protection locked="0"/>
    </xf>
    <xf numFmtId="166" fontId="4" fillId="0" borderId="58" xfId="0" applyNumberFormat="1" applyFont="1" applyFill="1" applyBorder="1" applyAlignment="1" applyProtection="1">
      <alignment horizontal="center" vertical="center"/>
      <protection/>
    </xf>
    <xf numFmtId="166" fontId="0" fillId="0" borderId="4" xfId="0" applyNumberFormat="1" applyFill="1" applyBorder="1" applyAlignment="1" applyProtection="1">
      <alignment horizontal="center" vertical="center"/>
      <protection/>
    </xf>
    <xf numFmtId="166" fontId="4" fillId="2" borderId="20" xfId="0" applyNumberFormat="1" applyFont="1" applyFill="1" applyBorder="1" applyAlignment="1" applyProtection="1">
      <alignment horizontal="center" vertical="center"/>
      <protection locked="0"/>
    </xf>
    <xf numFmtId="166" fontId="0" fillId="0" borderId="59" xfId="0" applyNumberFormat="1" applyFill="1" applyBorder="1" applyAlignment="1" applyProtection="1">
      <alignment horizontal="center" vertical="center"/>
      <protection/>
    </xf>
    <xf numFmtId="166" fontId="0" fillId="0" borderId="60" xfId="0" applyNumberFormat="1" applyFill="1" applyBorder="1" applyAlignment="1" applyProtection="1">
      <alignment horizontal="center" vertical="center"/>
      <protection/>
    </xf>
    <xf numFmtId="166" fontId="0" fillId="0" borderId="58" xfId="0" applyNumberForma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tabSelected="1" zoomScale="140" zoomScaleNormal="140" workbookViewId="0" topLeftCell="B1">
      <selection activeCell="E4" sqref="E4"/>
    </sheetView>
  </sheetViews>
  <sheetFormatPr defaultColWidth="11.421875" defaultRowHeight="12.75"/>
  <cols>
    <col min="1" max="1" width="12.421875" style="1" customWidth="1"/>
    <col min="2" max="2" width="7.140625" style="1" customWidth="1"/>
    <col min="3" max="3" width="8.00390625" style="1" customWidth="1"/>
    <col min="4" max="4" width="31.7109375" style="1" customWidth="1"/>
    <col min="5" max="5" width="8.8515625" style="1" customWidth="1"/>
    <col min="6" max="6" width="6.7109375" style="1" customWidth="1"/>
    <col min="7" max="7" width="10.8515625" style="1" customWidth="1"/>
    <col min="8" max="8" width="13.421875" style="1" customWidth="1"/>
    <col min="9" max="9" width="6.7109375" style="1" customWidth="1"/>
    <col min="10" max="13" width="3.7109375" style="1" customWidth="1"/>
    <col min="14" max="16384" width="11.421875" style="1" customWidth="1"/>
  </cols>
  <sheetData>
    <row r="1" spans="1:13" ht="12.75" customHeight="1" thickBot="1">
      <c r="A1" s="75" t="s">
        <v>25</v>
      </c>
      <c r="B1" s="91" t="s">
        <v>8</v>
      </c>
      <c r="C1" s="92"/>
      <c r="D1" s="78" t="s">
        <v>9</v>
      </c>
      <c r="E1" s="78"/>
      <c r="F1" s="78"/>
      <c r="G1" s="78"/>
      <c r="H1" s="111" t="s">
        <v>4</v>
      </c>
      <c r="I1" s="70" t="s">
        <v>27</v>
      </c>
      <c r="J1" s="70"/>
      <c r="K1" s="70"/>
      <c r="L1" s="70"/>
      <c r="M1" s="71"/>
    </row>
    <row r="2" spans="1:13" ht="12.75" customHeight="1" thickBot="1">
      <c r="A2" s="76"/>
      <c r="B2" s="93"/>
      <c r="C2" s="94"/>
      <c r="D2" s="119" t="s">
        <v>19</v>
      </c>
      <c r="E2" s="147" t="s">
        <v>54</v>
      </c>
      <c r="F2" s="109" t="s">
        <v>3</v>
      </c>
      <c r="G2" s="117" t="s">
        <v>47</v>
      </c>
      <c r="H2" s="112"/>
      <c r="I2" s="34" t="s">
        <v>45</v>
      </c>
      <c r="J2" s="107" t="s">
        <v>48</v>
      </c>
      <c r="K2" s="107"/>
      <c r="L2" s="107" t="s">
        <v>46</v>
      </c>
      <c r="M2" s="108"/>
    </row>
    <row r="3" spans="1:13" ht="13.5" thickBot="1">
      <c r="A3" s="77"/>
      <c r="B3" s="95"/>
      <c r="C3" s="96"/>
      <c r="D3" s="120"/>
      <c r="E3" s="148"/>
      <c r="F3" s="110"/>
      <c r="G3" s="118"/>
      <c r="H3" s="113"/>
      <c r="I3" s="35">
        <v>18</v>
      </c>
      <c r="J3" s="60">
        <v>24</v>
      </c>
      <c r="K3" s="61"/>
      <c r="L3" s="60">
        <v>35</v>
      </c>
      <c r="M3" s="61"/>
    </row>
    <row r="4" spans="1:13" ht="12.75" customHeight="1">
      <c r="A4" s="79" t="s">
        <v>5</v>
      </c>
      <c r="B4" s="64" t="s">
        <v>1</v>
      </c>
      <c r="C4" s="65"/>
      <c r="D4" s="139" t="s">
        <v>7</v>
      </c>
      <c r="E4" s="143">
        <v>30</v>
      </c>
      <c r="F4" s="5">
        <f>G4*E4</f>
        <v>90</v>
      </c>
      <c r="G4" s="6">
        <f>ROUND(E9*0.2143,0)</f>
        <v>3</v>
      </c>
      <c r="H4" s="138" t="s">
        <v>24</v>
      </c>
      <c r="I4" s="7">
        <f>G4</f>
        <v>3</v>
      </c>
      <c r="J4" s="8">
        <f>I4/3*2</f>
        <v>2</v>
      </c>
      <c r="K4" s="9">
        <f>I4-J4</f>
        <v>1</v>
      </c>
      <c r="L4" s="8">
        <f>I4/3</f>
        <v>1</v>
      </c>
      <c r="M4" s="9">
        <f>I4-L4</f>
        <v>2</v>
      </c>
    </row>
    <row r="5" spans="1:13" ht="24.75" thickBot="1">
      <c r="A5" s="80"/>
      <c r="B5" s="66"/>
      <c r="C5" s="67"/>
      <c r="D5" s="140" t="s">
        <v>62</v>
      </c>
      <c r="E5" s="144" t="s">
        <v>50</v>
      </c>
      <c r="F5" s="12">
        <f>G5*E4</f>
        <v>90</v>
      </c>
      <c r="G5" s="14">
        <f>ROUND(E9*0.18,0)</f>
        <v>3</v>
      </c>
      <c r="H5" s="15" t="s">
        <v>13</v>
      </c>
      <c r="I5" s="16">
        <f>G5</f>
        <v>3</v>
      </c>
      <c r="J5" s="17">
        <f>I5/2</f>
        <v>1.5</v>
      </c>
      <c r="K5" s="18">
        <f>I5-J5</f>
        <v>1.5</v>
      </c>
      <c r="L5" s="17">
        <f>I5/2</f>
        <v>1.5</v>
      </c>
      <c r="M5" s="18">
        <f>I5-L5</f>
        <v>1.5</v>
      </c>
    </row>
    <row r="6" spans="1:13" ht="24">
      <c r="A6" s="80"/>
      <c r="B6" s="66"/>
      <c r="C6" s="67"/>
      <c r="D6" s="140" t="s">
        <v>63</v>
      </c>
      <c r="E6" s="142">
        <f>36-E4</f>
        <v>6</v>
      </c>
      <c r="F6" s="12">
        <f>G6*E4</f>
        <v>60</v>
      </c>
      <c r="G6" s="14">
        <f>ROUND(E9*0.15,0)</f>
        <v>2</v>
      </c>
      <c r="H6" s="15" t="s">
        <v>13</v>
      </c>
      <c r="I6" s="16">
        <f>G6</f>
        <v>2</v>
      </c>
      <c r="J6" s="17">
        <f>I6/4*3</f>
        <v>1.5</v>
      </c>
      <c r="K6" s="18">
        <f>I6-J6</f>
        <v>0.5</v>
      </c>
      <c r="L6" s="17">
        <f>I6/2</f>
        <v>1</v>
      </c>
      <c r="M6" s="18">
        <f>I6-L6</f>
        <v>1</v>
      </c>
    </row>
    <row r="7" spans="1:13" ht="12.75">
      <c r="A7" s="80"/>
      <c r="B7" s="66"/>
      <c r="C7" s="67"/>
      <c r="D7" s="140" t="s">
        <v>65</v>
      </c>
      <c r="E7" s="145" t="s">
        <v>49</v>
      </c>
      <c r="F7" s="12">
        <f>G7*E4</f>
        <v>30</v>
      </c>
      <c r="G7" s="14">
        <f>G10-G8-G6-G5-G4</f>
        <v>1</v>
      </c>
      <c r="H7" s="15" t="s">
        <v>13</v>
      </c>
      <c r="I7" s="16">
        <f>G7</f>
        <v>1</v>
      </c>
      <c r="J7" s="17">
        <v>0</v>
      </c>
      <c r="K7" s="18">
        <f>I7-J7</f>
        <v>1</v>
      </c>
      <c r="L7" s="17">
        <v>0</v>
      </c>
      <c r="M7" s="18">
        <f>I7-L7</f>
        <v>1</v>
      </c>
    </row>
    <row r="8" spans="1:13" ht="13.5" thickBot="1">
      <c r="A8" s="80"/>
      <c r="B8" s="66"/>
      <c r="C8" s="67"/>
      <c r="D8" s="140" t="s">
        <v>64</v>
      </c>
      <c r="E8" s="146"/>
      <c r="F8" s="12">
        <f>G8*E4</f>
        <v>180</v>
      </c>
      <c r="G8" s="6">
        <f>ROUND(E9*0.4,0)</f>
        <v>6</v>
      </c>
      <c r="H8" s="15" t="s">
        <v>13</v>
      </c>
      <c r="I8" s="16">
        <f>G8</f>
        <v>6</v>
      </c>
      <c r="J8" s="17">
        <f>I8/1.5</f>
        <v>4</v>
      </c>
      <c r="K8" s="18">
        <f>I8-J8</f>
        <v>2</v>
      </c>
      <c r="L8" s="17">
        <f>I8/1.5</f>
        <v>4</v>
      </c>
      <c r="M8" s="18">
        <f>I8-L8</f>
        <v>2</v>
      </c>
    </row>
    <row r="9" spans="1:13" ht="12.75">
      <c r="A9" s="80"/>
      <c r="B9" s="66"/>
      <c r="C9" s="67"/>
      <c r="D9" s="12" t="s">
        <v>47</v>
      </c>
      <c r="E9" s="141">
        <v>15</v>
      </c>
      <c r="F9" s="13"/>
      <c r="G9" s="14"/>
      <c r="H9" s="15"/>
      <c r="I9" s="16"/>
      <c r="J9" s="17"/>
      <c r="K9" s="18"/>
      <c r="L9" s="17"/>
      <c r="M9" s="18"/>
    </row>
    <row r="10" spans="1:13" ht="12.75">
      <c r="A10" s="80"/>
      <c r="B10" s="66"/>
      <c r="C10" s="67"/>
      <c r="D10" s="136" t="s">
        <v>28</v>
      </c>
      <c r="E10" s="99"/>
      <c r="F10" s="14">
        <f>G10*E4</f>
        <v>450</v>
      </c>
      <c r="G10" s="14">
        <f>E9</f>
        <v>15</v>
      </c>
      <c r="H10" s="19"/>
      <c r="I10" s="16">
        <f>SUM(I4:I8)</f>
        <v>15</v>
      </c>
      <c r="J10" s="63">
        <f>J4+K4+J5+K5+J6+K6+J7+K7+J8+K8</f>
        <v>15</v>
      </c>
      <c r="K10" s="90"/>
      <c r="L10" s="63">
        <f>L4+M4+L5+M5+L6+M6+L7+M7+L8+M8</f>
        <v>15</v>
      </c>
      <c r="M10" s="90"/>
    </row>
    <row r="11" spans="1:13" ht="12.75">
      <c r="A11" s="80"/>
      <c r="B11" s="66"/>
      <c r="C11" s="67"/>
      <c r="D11" s="99" t="s">
        <v>29</v>
      </c>
      <c r="E11" s="100"/>
      <c r="F11" s="100"/>
      <c r="G11" s="100"/>
      <c r="H11" s="101"/>
      <c r="I11" s="16">
        <f>I10</f>
        <v>15</v>
      </c>
      <c r="J11" s="63">
        <f>SUM(J4:J8)+(2*SUM(K4:K8))</f>
        <v>21</v>
      </c>
      <c r="K11" s="90"/>
      <c r="L11" s="63">
        <f>SUM(L4:L8)+(2*SUM(M4:M8))</f>
        <v>22.5</v>
      </c>
      <c r="M11" s="90"/>
    </row>
    <row r="12" spans="1:13" ht="12.75">
      <c r="A12" s="80"/>
      <c r="B12" s="66"/>
      <c r="C12" s="67"/>
      <c r="D12" s="99" t="s">
        <v>30</v>
      </c>
      <c r="E12" s="100"/>
      <c r="F12" s="100"/>
      <c r="G12" s="100"/>
      <c r="H12" s="101"/>
      <c r="I12" s="16">
        <f>I11*E4</f>
        <v>450</v>
      </c>
      <c r="J12" s="63">
        <f>J11*E4</f>
        <v>630</v>
      </c>
      <c r="K12" s="90"/>
      <c r="L12" s="63">
        <f>L11*E4</f>
        <v>675</v>
      </c>
      <c r="M12" s="90"/>
    </row>
    <row r="13" spans="1:13" ht="12.75">
      <c r="A13" s="80"/>
      <c r="B13" s="66"/>
      <c r="C13" s="67"/>
      <c r="D13" s="99" t="s">
        <v>32</v>
      </c>
      <c r="E13" s="100"/>
      <c r="F13" s="100"/>
      <c r="G13" s="100"/>
      <c r="H13" s="101"/>
      <c r="I13" s="16">
        <f>1152/84*E4</f>
        <v>411.4285714285714</v>
      </c>
      <c r="J13" s="63">
        <f>(1152/84*E4)+(J3/48*11.5*E4)</f>
        <v>583.9285714285713</v>
      </c>
      <c r="K13" s="90"/>
      <c r="L13" s="63">
        <f>(1152/84*E4)+(L3/48*11.5*E4)</f>
        <v>662.9910714285713</v>
      </c>
      <c r="M13" s="90"/>
    </row>
    <row r="14" spans="1:13" ht="13.5" thickBot="1">
      <c r="A14" s="80"/>
      <c r="B14" s="68"/>
      <c r="C14" s="69"/>
      <c r="D14" s="114" t="s">
        <v>31</v>
      </c>
      <c r="E14" s="115"/>
      <c r="F14" s="115"/>
      <c r="G14" s="115"/>
      <c r="H14" s="116"/>
      <c r="I14" s="20">
        <f>I13-I12</f>
        <v>-38.57142857142861</v>
      </c>
      <c r="J14" s="97">
        <f>J13-J12</f>
        <v>-46.07142857142867</v>
      </c>
      <c r="K14" s="98"/>
      <c r="L14" s="97">
        <f>L13-L12</f>
        <v>-12.008928571428669</v>
      </c>
      <c r="M14" s="98"/>
    </row>
    <row r="15" spans="1:13" ht="12.75" customHeight="1">
      <c r="A15" s="80"/>
      <c r="B15" s="123" t="s">
        <v>6</v>
      </c>
      <c r="C15" s="105" t="s">
        <v>2</v>
      </c>
      <c r="D15" s="62" t="s">
        <v>7</v>
      </c>
      <c r="E15" s="152">
        <f>36-E17</f>
        <v>28</v>
      </c>
      <c r="F15" s="154">
        <f>G15*E15</f>
        <v>56</v>
      </c>
      <c r="G15" s="21">
        <f>ROUND(E19*0.1429,0)</f>
        <v>2</v>
      </c>
      <c r="H15" s="137" t="s">
        <v>24</v>
      </c>
      <c r="I15" s="27">
        <f>G15</f>
        <v>2</v>
      </c>
      <c r="J15" s="23">
        <f>I15</f>
        <v>2</v>
      </c>
      <c r="K15" s="24">
        <v>0</v>
      </c>
      <c r="L15" s="23">
        <f>I15</f>
        <v>2</v>
      </c>
      <c r="M15" s="24">
        <v>0</v>
      </c>
    </row>
    <row r="16" spans="1:13" ht="13.5" thickBot="1">
      <c r="A16" s="80"/>
      <c r="B16" s="124"/>
      <c r="C16" s="63"/>
      <c r="D16" s="19" t="s">
        <v>10</v>
      </c>
      <c r="E16" s="153" t="s">
        <v>50</v>
      </c>
      <c r="F16" s="155">
        <f>G16*E15</f>
        <v>112</v>
      </c>
      <c r="G16" s="14">
        <f>ROUND(E19*0.2857,0)</f>
        <v>4</v>
      </c>
      <c r="H16" s="19" t="s">
        <v>13</v>
      </c>
      <c r="I16" s="28">
        <f>G16</f>
        <v>4</v>
      </c>
      <c r="J16" s="17">
        <f>I16/2</f>
        <v>2</v>
      </c>
      <c r="K16" s="18">
        <f>I16-J16</f>
        <v>2</v>
      </c>
      <c r="L16" s="17">
        <f>I16/2</f>
        <v>2</v>
      </c>
      <c r="M16" s="18">
        <f>I16-L16</f>
        <v>2</v>
      </c>
    </row>
    <row r="17" spans="1:13" ht="12.75">
      <c r="A17" s="80"/>
      <c r="B17" s="124"/>
      <c r="C17" s="63"/>
      <c r="D17" s="19" t="s">
        <v>11</v>
      </c>
      <c r="E17" s="156">
        <v>8</v>
      </c>
      <c r="F17" s="155">
        <f>G17*E15</f>
        <v>112</v>
      </c>
      <c r="G17" s="14">
        <f>ROUND(E19*0.2857,0)</f>
        <v>4</v>
      </c>
      <c r="H17" s="19" t="s">
        <v>13</v>
      </c>
      <c r="I17" s="28">
        <f>G17</f>
        <v>4</v>
      </c>
      <c r="J17" s="17">
        <f>I17/2</f>
        <v>2</v>
      </c>
      <c r="K17" s="18">
        <f>I17-J17</f>
        <v>2</v>
      </c>
      <c r="L17" s="17">
        <f>I17/4</f>
        <v>1</v>
      </c>
      <c r="M17" s="18">
        <f>I17-L17</f>
        <v>3</v>
      </c>
    </row>
    <row r="18" spans="1:13" ht="13.5" thickBot="1">
      <c r="A18" s="80"/>
      <c r="B18" s="124"/>
      <c r="C18" s="63"/>
      <c r="D18" s="19" t="s">
        <v>12</v>
      </c>
      <c r="E18" s="153" t="s">
        <v>49</v>
      </c>
      <c r="F18" s="155">
        <f>G18*E15</f>
        <v>112</v>
      </c>
      <c r="G18" s="14">
        <f>G19-G17-G16-G15</f>
        <v>4</v>
      </c>
      <c r="H18" s="19" t="s">
        <v>13</v>
      </c>
      <c r="I18" s="28">
        <f>G18</f>
        <v>4</v>
      </c>
      <c r="J18" s="17">
        <f>I18/2</f>
        <v>2</v>
      </c>
      <c r="K18" s="18">
        <f>I18-J18</f>
        <v>2</v>
      </c>
      <c r="L18" s="17">
        <f>I18/I18</f>
        <v>1</v>
      </c>
      <c r="M18" s="18">
        <f>I18-L18</f>
        <v>3</v>
      </c>
    </row>
    <row r="19" spans="1:13" ht="13.5" thickBot="1">
      <c r="A19" s="80"/>
      <c r="B19" s="124"/>
      <c r="C19" s="63"/>
      <c r="D19" s="19" t="s">
        <v>33</v>
      </c>
      <c r="E19" s="159">
        <f>Choix!D3</f>
        <v>14</v>
      </c>
      <c r="F19" s="155">
        <f>G19*E15</f>
        <v>392</v>
      </c>
      <c r="G19" s="14">
        <f>E19</f>
        <v>14</v>
      </c>
      <c r="H19" s="19"/>
      <c r="I19" s="28">
        <f>SUM(I15:I18)</f>
        <v>14</v>
      </c>
      <c r="J19" s="63">
        <f>J15+K15+J16+K16+J17+K17+J18+K18</f>
        <v>14</v>
      </c>
      <c r="K19" s="90"/>
      <c r="L19" s="63">
        <f>L15+M15+L16+M16+L17+M17+L18+M18</f>
        <v>14</v>
      </c>
      <c r="M19" s="90"/>
    </row>
    <row r="20" spans="1:13" ht="12.75">
      <c r="A20" s="80"/>
      <c r="B20" s="124"/>
      <c r="C20" s="63"/>
      <c r="D20" s="88" t="s">
        <v>35</v>
      </c>
      <c r="E20" s="158"/>
      <c r="F20" s="88"/>
      <c r="G20" s="88"/>
      <c r="H20" s="89"/>
      <c r="I20" s="28">
        <f>SUM(I15:I18)</f>
        <v>14</v>
      </c>
      <c r="J20" s="63">
        <f>(SUM(J15:J18)+(2*(SUM(K15:K18))))</f>
        <v>20</v>
      </c>
      <c r="K20" s="90"/>
      <c r="L20" s="63">
        <f>(SUM(L15:L18)+(2*(SUM(M15:M18))))</f>
        <v>22</v>
      </c>
      <c r="M20" s="90"/>
    </row>
    <row r="21" spans="1:13" ht="12.75">
      <c r="A21" s="80"/>
      <c r="B21" s="124"/>
      <c r="C21" s="63"/>
      <c r="D21" s="88" t="s">
        <v>36</v>
      </c>
      <c r="E21" s="88"/>
      <c r="F21" s="88"/>
      <c r="G21" s="88"/>
      <c r="H21" s="89"/>
      <c r="I21" s="28">
        <f>I20*E15</f>
        <v>392</v>
      </c>
      <c r="J21" s="63">
        <f>J20*E15</f>
        <v>560</v>
      </c>
      <c r="K21" s="90"/>
      <c r="L21" s="63">
        <f>L20*E15</f>
        <v>616</v>
      </c>
      <c r="M21" s="90"/>
    </row>
    <row r="22" spans="1:13" ht="12.75">
      <c r="A22" s="80"/>
      <c r="B22" s="124"/>
      <c r="C22" s="63"/>
      <c r="D22" s="88" t="s">
        <v>37</v>
      </c>
      <c r="E22" s="88"/>
      <c r="F22" s="88"/>
      <c r="G22" s="88"/>
      <c r="H22" s="89"/>
      <c r="I22" s="28">
        <f>1152/84*E15</f>
        <v>384</v>
      </c>
      <c r="J22" s="63">
        <f>(1152/84*E15)+(J3/48*11.5*E15)</f>
        <v>545</v>
      </c>
      <c r="K22" s="90"/>
      <c r="L22" s="63">
        <f>(1152/84*E15)+(L3/48*11.5*E15)</f>
        <v>618.7916666666666</v>
      </c>
      <c r="M22" s="90"/>
    </row>
    <row r="23" spans="1:13" ht="13.5" thickBot="1">
      <c r="A23" s="80"/>
      <c r="B23" s="124"/>
      <c r="C23" s="121"/>
      <c r="D23" s="86" t="s">
        <v>38</v>
      </c>
      <c r="E23" s="86"/>
      <c r="F23" s="86"/>
      <c r="G23" s="86"/>
      <c r="H23" s="87"/>
      <c r="I23" s="29">
        <f>I22-I21</f>
        <v>-8</v>
      </c>
      <c r="J23" s="121">
        <f>J22-J21</f>
        <v>-15</v>
      </c>
      <c r="K23" s="122"/>
      <c r="L23" s="121">
        <f>L22-L21</f>
        <v>2.7916666666666288</v>
      </c>
      <c r="M23" s="122"/>
    </row>
    <row r="24" spans="1:13" ht="12.75">
      <c r="A24" s="80"/>
      <c r="B24" s="124"/>
      <c r="C24" s="105" t="s">
        <v>0</v>
      </c>
      <c r="D24" s="62" t="s">
        <v>7</v>
      </c>
      <c r="E24" s="160">
        <f>84-E15-E4</f>
        <v>26</v>
      </c>
      <c r="F24" s="154">
        <f>ROUND(G24*E24,0)</f>
        <v>52</v>
      </c>
      <c r="G24" s="21">
        <f>ROUND(E28*0.1538,0)</f>
        <v>2</v>
      </c>
      <c r="H24" s="22" t="s">
        <v>24</v>
      </c>
      <c r="I24" s="27">
        <f>G24</f>
        <v>2</v>
      </c>
      <c r="J24" s="23">
        <f>I24</f>
        <v>2</v>
      </c>
      <c r="K24" s="24">
        <f>I24-J24</f>
        <v>0</v>
      </c>
      <c r="L24" s="23">
        <v>2</v>
      </c>
      <c r="M24" s="24">
        <f>I24-L24</f>
        <v>0</v>
      </c>
    </row>
    <row r="25" spans="1:13" ht="13.5" thickBot="1">
      <c r="A25" s="80"/>
      <c r="B25" s="124"/>
      <c r="C25" s="63"/>
      <c r="D25" s="19" t="s">
        <v>10</v>
      </c>
      <c r="E25" s="161" t="s">
        <v>50</v>
      </c>
      <c r="F25" s="155">
        <f>ROUND(G25*E24,0)</f>
        <v>78</v>
      </c>
      <c r="G25" s="14">
        <f>ROUND(E28*0.2308,0)</f>
        <v>3</v>
      </c>
      <c r="H25" s="19" t="s">
        <v>13</v>
      </c>
      <c r="I25" s="28">
        <f>G25</f>
        <v>3</v>
      </c>
      <c r="J25" s="17">
        <f>I25/3</f>
        <v>1</v>
      </c>
      <c r="K25" s="18">
        <f>I25-J25</f>
        <v>2</v>
      </c>
      <c r="L25" s="17">
        <f>I25/3</f>
        <v>1</v>
      </c>
      <c r="M25" s="18">
        <f>I25-L25</f>
        <v>2</v>
      </c>
    </row>
    <row r="26" spans="1:13" ht="12.75">
      <c r="A26" s="80"/>
      <c r="B26" s="124"/>
      <c r="C26" s="63"/>
      <c r="D26" s="19" t="s">
        <v>11</v>
      </c>
      <c r="E26" s="160">
        <f>22-E17-E6</f>
        <v>8</v>
      </c>
      <c r="F26" s="155">
        <f>ROUND(G26*E24,0)</f>
        <v>104</v>
      </c>
      <c r="G26" s="14">
        <f>ROUND(E28*0.3077,0)</f>
        <v>4</v>
      </c>
      <c r="H26" s="19" t="s">
        <v>13</v>
      </c>
      <c r="I26" s="28">
        <f>G26</f>
        <v>4</v>
      </c>
      <c r="J26" s="17">
        <v>2</v>
      </c>
      <c r="K26" s="18">
        <f>I26-J26</f>
        <v>2</v>
      </c>
      <c r="L26" s="17">
        <f>I26/4</f>
        <v>1</v>
      </c>
      <c r="M26" s="18">
        <f>I26-L26</f>
        <v>3</v>
      </c>
    </row>
    <row r="27" spans="1:13" ht="13.5" thickBot="1">
      <c r="A27" s="80"/>
      <c r="B27" s="124"/>
      <c r="C27" s="63"/>
      <c r="D27" s="19" t="s">
        <v>12</v>
      </c>
      <c r="E27" s="161" t="s">
        <v>49</v>
      </c>
      <c r="F27" s="155">
        <f>F28-F26-F25-F24</f>
        <v>78</v>
      </c>
      <c r="G27" s="14">
        <f>G28-G26-G25-G24</f>
        <v>3</v>
      </c>
      <c r="H27" s="19" t="s">
        <v>13</v>
      </c>
      <c r="I27" s="28">
        <f>G27</f>
        <v>3</v>
      </c>
      <c r="J27" s="17">
        <v>2</v>
      </c>
      <c r="K27" s="18">
        <f>I27-J27</f>
        <v>1</v>
      </c>
      <c r="L27" s="17">
        <f>I27/4</f>
        <v>0.75</v>
      </c>
      <c r="M27" s="18">
        <f>I27-L27</f>
        <v>2.25</v>
      </c>
    </row>
    <row r="28" spans="1:13" ht="13.5" thickBot="1">
      <c r="A28" s="80"/>
      <c r="B28" s="124"/>
      <c r="C28" s="63"/>
      <c r="D28" s="19" t="s">
        <v>34</v>
      </c>
      <c r="E28" s="30">
        <f>ROUND((1152-F10-F19)/E24,0)</f>
        <v>12</v>
      </c>
      <c r="F28" s="155">
        <f>G28*E24</f>
        <v>312</v>
      </c>
      <c r="G28" s="14">
        <f>E28</f>
        <v>12</v>
      </c>
      <c r="H28" s="19"/>
      <c r="I28" s="28">
        <f>SUM(I24:I27)</f>
        <v>12</v>
      </c>
      <c r="J28" s="63">
        <f>J24+K24+J25+K25+J26+K26+J27+K27</f>
        <v>12</v>
      </c>
      <c r="K28" s="90"/>
      <c r="L28" s="63">
        <f>L24+M24+L25+M25+L26+M26+L27+M27</f>
        <v>12</v>
      </c>
      <c r="M28" s="90"/>
    </row>
    <row r="29" spans="1:13" ht="12.75">
      <c r="A29" s="80"/>
      <c r="B29" s="124"/>
      <c r="C29" s="63"/>
      <c r="D29" s="88" t="s">
        <v>40</v>
      </c>
      <c r="E29" s="158"/>
      <c r="F29" s="88"/>
      <c r="G29" s="88"/>
      <c r="H29" s="89"/>
      <c r="I29" s="28">
        <f>I28</f>
        <v>12</v>
      </c>
      <c r="J29" s="63">
        <f>SUM(J24:J27)+(2*SUM(K24:K27))</f>
        <v>17</v>
      </c>
      <c r="K29" s="90"/>
      <c r="L29" s="63">
        <f>SUM(L24:L27)+(2*SUM(M24:M27))</f>
        <v>19.25</v>
      </c>
      <c r="M29" s="90"/>
    </row>
    <row r="30" spans="1:13" ht="12.75">
      <c r="A30" s="80"/>
      <c r="B30" s="124"/>
      <c r="C30" s="63"/>
      <c r="D30" s="88" t="s">
        <v>41</v>
      </c>
      <c r="E30" s="88"/>
      <c r="F30" s="88"/>
      <c r="G30" s="88"/>
      <c r="H30" s="89"/>
      <c r="I30" s="28">
        <f>I29*E24</f>
        <v>312</v>
      </c>
      <c r="J30" s="63">
        <f>J29*E24</f>
        <v>442</v>
      </c>
      <c r="K30" s="90"/>
      <c r="L30" s="63">
        <f>L29*E24</f>
        <v>500.5</v>
      </c>
      <c r="M30" s="90"/>
    </row>
    <row r="31" spans="1:13" ht="12.75">
      <c r="A31" s="80"/>
      <c r="B31" s="124"/>
      <c r="C31" s="63"/>
      <c r="D31" s="88" t="s">
        <v>42</v>
      </c>
      <c r="E31" s="88"/>
      <c r="F31" s="88"/>
      <c r="G31" s="88"/>
      <c r="H31" s="89"/>
      <c r="I31" s="28">
        <f>1152/84*E24</f>
        <v>356.57142857142856</v>
      </c>
      <c r="J31" s="63">
        <f>(1152/84*E24)+(J3/48*11.5*E24)</f>
        <v>506.07142857142856</v>
      </c>
      <c r="K31" s="90"/>
      <c r="L31" s="63">
        <f>(1152/84*E24)+(L3/48*11.5*E24)</f>
        <v>574.5922619047619</v>
      </c>
      <c r="M31" s="90"/>
    </row>
    <row r="32" spans="1:13" ht="13.5" thickBot="1">
      <c r="A32" s="80"/>
      <c r="B32" s="124"/>
      <c r="C32" s="121"/>
      <c r="D32" s="86" t="s">
        <v>43</v>
      </c>
      <c r="E32" s="86"/>
      <c r="F32" s="86"/>
      <c r="G32" s="86"/>
      <c r="H32" s="87"/>
      <c r="I32" s="29">
        <f>I31-I30</f>
        <v>44.571428571428555</v>
      </c>
      <c r="J32" s="121">
        <f>J31-J30</f>
        <v>64.07142857142856</v>
      </c>
      <c r="K32" s="122"/>
      <c r="L32" s="121">
        <f>L31-L30</f>
        <v>74.09226190476193</v>
      </c>
      <c r="M32" s="122"/>
    </row>
    <row r="33" spans="1:13" ht="13.5" thickBot="1">
      <c r="A33" s="80"/>
      <c r="B33" s="124"/>
      <c r="C33" s="105" t="s">
        <v>44</v>
      </c>
      <c r="D33" s="106"/>
      <c r="E33" s="106"/>
      <c r="F33" s="106"/>
      <c r="G33" s="106"/>
      <c r="H33" s="72"/>
      <c r="I33" s="30">
        <f>I14+I23+I32</f>
        <v>-2.000000000000057</v>
      </c>
      <c r="J33" s="73">
        <f>J14+J23+J32</f>
        <v>2.9999999999998863</v>
      </c>
      <c r="K33" s="74"/>
      <c r="L33" s="73">
        <f>L14+L23+L32</f>
        <v>64.87499999999989</v>
      </c>
      <c r="M33" s="74"/>
    </row>
    <row r="34" spans="1:13" ht="13.5" thickBot="1">
      <c r="A34" s="80"/>
      <c r="B34" s="124"/>
      <c r="C34" s="97" t="s">
        <v>39</v>
      </c>
      <c r="D34" s="102"/>
      <c r="E34" s="102"/>
      <c r="F34" s="102">
        <f>F28+F19+F10</f>
        <v>1154</v>
      </c>
      <c r="G34" s="102"/>
      <c r="H34" s="102"/>
      <c r="I34" s="103"/>
      <c r="J34" s="103"/>
      <c r="K34" s="103"/>
      <c r="L34" s="103"/>
      <c r="M34" s="104"/>
    </row>
    <row r="35" spans="1:14" ht="12.75">
      <c r="A35" s="80"/>
      <c r="B35" s="83" t="s">
        <v>13</v>
      </c>
      <c r="C35" s="105" t="s">
        <v>2</v>
      </c>
      <c r="D35" s="62" t="s">
        <v>7</v>
      </c>
      <c r="E35" s="152">
        <f>36-E37</f>
        <v>28</v>
      </c>
      <c r="F35" s="154">
        <f>G35*E35</f>
        <v>56</v>
      </c>
      <c r="G35" s="21">
        <f>ROUND(E40*0.1429,0)</f>
        <v>2</v>
      </c>
      <c r="H35" s="137" t="s">
        <v>24</v>
      </c>
      <c r="I35" s="27">
        <f aca="true" t="shared" si="0" ref="I35:I40">G35</f>
        <v>2</v>
      </c>
      <c r="J35" s="23">
        <f>+I35</f>
        <v>2</v>
      </c>
      <c r="K35" s="24">
        <f>I35-J35</f>
        <v>0</v>
      </c>
      <c r="L35" s="23">
        <f>I35</f>
        <v>2</v>
      </c>
      <c r="M35" s="24">
        <f>I35-L35</f>
        <v>0</v>
      </c>
      <c r="N35" s="26"/>
    </row>
    <row r="36" spans="1:14" ht="13.5" thickBot="1">
      <c r="A36" s="80"/>
      <c r="B36" s="84"/>
      <c r="C36" s="63"/>
      <c r="D36" s="19" t="s">
        <v>20</v>
      </c>
      <c r="E36" s="153" t="s">
        <v>50</v>
      </c>
      <c r="F36" s="155">
        <f>G36*28</f>
        <v>112</v>
      </c>
      <c r="G36" s="14">
        <f>ROUND(E40*0.2858,0)</f>
        <v>4</v>
      </c>
      <c r="H36" s="19" t="s">
        <v>13</v>
      </c>
      <c r="I36" s="28">
        <f t="shared" si="0"/>
        <v>4</v>
      </c>
      <c r="J36" s="17">
        <f>I36/2</f>
        <v>2</v>
      </c>
      <c r="K36" s="18">
        <f>I36-J36</f>
        <v>2</v>
      </c>
      <c r="L36" s="17">
        <f>I36/4</f>
        <v>1</v>
      </c>
      <c r="M36" s="18">
        <f>I36-L36</f>
        <v>3</v>
      </c>
      <c r="N36" s="26"/>
    </row>
    <row r="37" spans="1:14" ht="12.75">
      <c r="A37" s="80"/>
      <c r="B37" s="84"/>
      <c r="C37" s="63"/>
      <c r="D37" s="19" t="s">
        <v>21</v>
      </c>
      <c r="E37" s="156">
        <v>8</v>
      </c>
      <c r="F37" s="155">
        <f>G37*28</f>
        <v>112</v>
      </c>
      <c r="G37" s="14">
        <f>ROUND(E40*0.2858,0)</f>
        <v>4</v>
      </c>
      <c r="H37" s="19" t="s">
        <v>13</v>
      </c>
      <c r="I37" s="28">
        <f t="shared" si="0"/>
        <v>4</v>
      </c>
      <c r="J37" s="17">
        <f>I37/2</f>
        <v>2</v>
      </c>
      <c r="K37" s="18">
        <f>I37-J37</f>
        <v>2</v>
      </c>
      <c r="L37" s="17">
        <f>I37/4</f>
        <v>1</v>
      </c>
      <c r="M37" s="18">
        <f>I37-L37</f>
        <v>3</v>
      </c>
      <c r="N37" s="26"/>
    </row>
    <row r="38" spans="1:14" ht="12.75">
      <c r="A38" s="80"/>
      <c r="B38" s="84"/>
      <c r="C38" s="63"/>
      <c r="D38" s="19" t="s">
        <v>22</v>
      </c>
      <c r="E38" s="157" t="s">
        <v>49</v>
      </c>
      <c r="F38" s="155">
        <f>G38*28</f>
        <v>56</v>
      </c>
      <c r="G38" s="14">
        <f>ROUND(E40*0.1429,0)</f>
        <v>2</v>
      </c>
      <c r="H38" s="19" t="s">
        <v>13</v>
      </c>
      <c r="I38" s="28">
        <f t="shared" si="0"/>
        <v>2</v>
      </c>
      <c r="J38" s="17">
        <v>0</v>
      </c>
      <c r="K38" s="18">
        <f>I38-J38</f>
        <v>2</v>
      </c>
      <c r="L38" s="17">
        <v>0</v>
      </c>
      <c r="M38" s="18">
        <f>I38-L38</f>
        <v>2</v>
      </c>
      <c r="N38" s="26"/>
    </row>
    <row r="39" spans="1:14" ht="13.5" thickBot="1">
      <c r="A39" s="80"/>
      <c r="B39" s="84"/>
      <c r="C39" s="63"/>
      <c r="D39" s="19" t="s">
        <v>23</v>
      </c>
      <c r="E39" s="153"/>
      <c r="F39" s="155">
        <f>G39*28</f>
        <v>28</v>
      </c>
      <c r="G39" s="14">
        <f>G40-G37-G36-G35-G35</f>
        <v>1</v>
      </c>
      <c r="H39" s="19" t="s">
        <v>13</v>
      </c>
      <c r="I39" s="28">
        <f t="shared" si="0"/>
        <v>1</v>
      </c>
      <c r="J39" s="17">
        <f>I39</f>
        <v>1</v>
      </c>
      <c r="K39" s="18">
        <f>I39-J39</f>
        <v>0</v>
      </c>
      <c r="L39" s="17">
        <f>I39</f>
        <v>1</v>
      </c>
      <c r="M39" s="18">
        <f>I39-L39</f>
        <v>0</v>
      </c>
      <c r="N39" s="26"/>
    </row>
    <row r="40" spans="1:14" ht="13.5" thickBot="1">
      <c r="A40" s="80"/>
      <c r="B40" s="84"/>
      <c r="C40" s="63"/>
      <c r="D40" s="19" t="s">
        <v>33</v>
      </c>
      <c r="E40" s="159">
        <v>13</v>
      </c>
      <c r="F40" s="155">
        <f>E35*E40</f>
        <v>364</v>
      </c>
      <c r="G40" s="14">
        <f>E40</f>
        <v>13</v>
      </c>
      <c r="H40" s="19"/>
      <c r="I40" s="28">
        <f t="shared" si="0"/>
        <v>13</v>
      </c>
      <c r="J40" s="63">
        <f>J35+K35+J36+K36+J37+K37+J38+K38+J39+K39</f>
        <v>13</v>
      </c>
      <c r="K40" s="90"/>
      <c r="L40" s="63">
        <f>L35+M35+L36+M36+L37+M37+L38+M38+L39+M39</f>
        <v>13</v>
      </c>
      <c r="M40" s="90"/>
      <c r="N40" s="26"/>
    </row>
    <row r="41" spans="1:14" ht="12.75">
      <c r="A41" s="80"/>
      <c r="B41" s="84"/>
      <c r="C41" s="63"/>
      <c r="D41" s="88" t="s">
        <v>35</v>
      </c>
      <c r="E41" s="158"/>
      <c r="F41" s="88"/>
      <c r="G41" s="88"/>
      <c r="H41" s="89"/>
      <c r="I41" s="28">
        <f>I40</f>
        <v>13</v>
      </c>
      <c r="J41" s="63">
        <f>J40+SUM(K35:K39)</f>
        <v>19</v>
      </c>
      <c r="K41" s="90"/>
      <c r="L41" s="63">
        <f>L40+SUM(M35:M39)</f>
        <v>21</v>
      </c>
      <c r="M41" s="90"/>
      <c r="N41" s="26"/>
    </row>
    <row r="42" spans="1:14" ht="12.75">
      <c r="A42" s="80"/>
      <c r="B42" s="84"/>
      <c r="C42" s="63"/>
      <c r="D42" s="88" t="s">
        <v>36</v>
      </c>
      <c r="E42" s="88"/>
      <c r="F42" s="88"/>
      <c r="G42" s="88"/>
      <c r="H42" s="89"/>
      <c r="I42" s="28">
        <f>I41*E35</f>
        <v>364</v>
      </c>
      <c r="J42" s="63">
        <f>J41*E35</f>
        <v>532</v>
      </c>
      <c r="K42" s="90"/>
      <c r="L42" s="63">
        <f>L41*E35</f>
        <v>588</v>
      </c>
      <c r="M42" s="90"/>
      <c r="N42" s="26"/>
    </row>
    <row r="43" spans="1:14" ht="12.75">
      <c r="A43" s="80"/>
      <c r="B43" s="84"/>
      <c r="C43" s="63"/>
      <c r="D43" s="88" t="s">
        <v>37</v>
      </c>
      <c r="E43" s="88"/>
      <c r="F43" s="88"/>
      <c r="G43" s="88"/>
      <c r="H43" s="89"/>
      <c r="I43" s="28">
        <f>1152/84*E35</f>
        <v>384</v>
      </c>
      <c r="J43" s="63">
        <f>(1152/84*E35)+(J3/48*11.5*E35)</f>
        <v>545</v>
      </c>
      <c r="K43" s="90"/>
      <c r="L43" s="63">
        <f>(1152/84*E35)+(L3/48*11.5*E35)</f>
        <v>618.7916666666666</v>
      </c>
      <c r="M43" s="90"/>
      <c r="N43" s="26"/>
    </row>
    <row r="44" spans="1:14" ht="13.5" thickBot="1">
      <c r="A44" s="80"/>
      <c r="B44" s="84"/>
      <c r="C44" s="121"/>
      <c r="D44" s="86" t="s">
        <v>38</v>
      </c>
      <c r="E44" s="86"/>
      <c r="F44" s="86"/>
      <c r="G44" s="86"/>
      <c r="H44" s="87"/>
      <c r="I44" s="29">
        <f>I43-I42</f>
        <v>20</v>
      </c>
      <c r="J44" s="121">
        <f>J43-J42</f>
        <v>13</v>
      </c>
      <c r="K44" s="122"/>
      <c r="L44" s="121">
        <f>L43-L42</f>
        <v>30.79166666666663</v>
      </c>
      <c r="M44" s="122"/>
      <c r="N44" s="26"/>
    </row>
    <row r="45" spans="1:14" ht="12.75">
      <c r="A45" s="80"/>
      <c r="B45" s="84"/>
      <c r="C45" s="105" t="s">
        <v>0</v>
      </c>
      <c r="D45" s="62" t="s">
        <v>7</v>
      </c>
      <c r="E45" s="160">
        <f>84-E35-E4</f>
        <v>26</v>
      </c>
      <c r="F45" s="154">
        <f>G45*E45</f>
        <v>52</v>
      </c>
      <c r="G45" s="21">
        <f>ROUND(E50*0.1538,0)</f>
        <v>2</v>
      </c>
      <c r="H45" s="22" t="s">
        <v>24</v>
      </c>
      <c r="I45" s="27">
        <f aca="true" t="shared" si="1" ref="I45:I50">G45</f>
        <v>2</v>
      </c>
      <c r="J45" s="23">
        <f>I45</f>
        <v>2</v>
      </c>
      <c r="K45" s="24">
        <f>I45-J45</f>
        <v>0</v>
      </c>
      <c r="L45" s="23">
        <v>2</v>
      </c>
      <c r="M45" s="24">
        <f>I45-L45</f>
        <v>0</v>
      </c>
      <c r="N45" s="26"/>
    </row>
    <row r="46" spans="1:14" ht="13.5" thickBot="1">
      <c r="A46" s="80"/>
      <c r="B46" s="84"/>
      <c r="C46" s="63"/>
      <c r="D46" s="19" t="s">
        <v>20</v>
      </c>
      <c r="E46" s="161" t="s">
        <v>50</v>
      </c>
      <c r="F46" s="155">
        <f>G46*E45</f>
        <v>104</v>
      </c>
      <c r="G46" s="14">
        <f>ROUND(E50*0.3076,0)</f>
        <v>4</v>
      </c>
      <c r="H46" s="19" t="s">
        <v>13</v>
      </c>
      <c r="I46" s="28">
        <f t="shared" si="1"/>
        <v>4</v>
      </c>
      <c r="J46" s="17">
        <f>I46/2</f>
        <v>2</v>
      </c>
      <c r="K46" s="18">
        <f>I46-J46</f>
        <v>2</v>
      </c>
      <c r="L46" s="17">
        <f>I46/4</f>
        <v>1</v>
      </c>
      <c r="M46" s="18">
        <f>I46-L46</f>
        <v>3</v>
      </c>
      <c r="N46" s="26"/>
    </row>
    <row r="47" spans="1:14" ht="12.75">
      <c r="A47" s="80"/>
      <c r="B47" s="84"/>
      <c r="C47" s="63"/>
      <c r="D47" s="19" t="s">
        <v>21</v>
      </c>
      <c r="E47" s="160">
        <f>22-E37-E6</f>
        <v>8</v>
      </c>
      <c r="F47" s="155">
        <f>G47*E45</f>
        <v>104</v>
      </c>
      <c r="G47" s="14">
        <f>ROUND(E50*0.3076,0)</f>
        <v>4</v>
      </c>
      <c r="H47" s="19" t="s">
        <v>13</v>
      </c>
      <c r="I47" s="28">
        <f t="shared" si="1"/>
        <v>4</v>
      </c>
      <c r="J47" s="17">
        <f>I47/2</f>
        <v>2</v>
      </c>
      <c r="K47" s="18">
        <f>I47-J47</f>
        <v>2</v>
      </c>
      <c r="L47" s="17">
        <f>I47/4</f>
        <v>1</v>
      </c>
      <c r="M47" s="18">
        <f>I47-L47</f>
        <v>3</v>
      </c>
      <c r="N47" s="26"/>
    </row>
    <row r="48" spans="1:14" ht="12.75">
      <c r="A48" s="80"/>
      <c r="B48" s="84"/>
      <c r="C48" s="63"/>
      <c r="D48" s="19" t="s">
        <v>22</v>
      </c>
      <c r="E48" s="162" t="s">
        <v>49</v>
      </c>
      <c r="F48" s="155">
        <f>G48*E45</f>
        <v>52</v>
      </c>
      <c r="G48" s="14">
        <f>ROUND(E50*0.1538,0)</f>
        <v>2</v>
      </c>
      <c r="H48" s="19" t="s">
        <v>13</v>
      </c>
      <c r="I48" s="28">
        <f t="shared" si="1"/>
        <v>2</v>
      </c>
      <c r="J48" s="17">
        <v>0</v>
      </c>
      <c r="K48" s="18">
        <f>I48-J48</f>
        <v>2</v>
      </c>
      <c r="L48" s="17">
        <v>0</v>
      </c>
      <c r="M48" s="18">
        <f>I48-L48</f>
        <v>2</v>
      </c>
      <c r="N48" s="26"/>
    </row>
    <row r="49" spans="1:14" ht="13.5" thickBot="1">
      <c r="A49" s="80"/>
      <c r="B49" s="84"/>
      <c r="C49" s="63"/>
      <c r="D49" s="19" t="s">
        <v>23</v>
      </c>
      <c r="E49" s="161"/>
      <c r="F49" s="155">
        <f>ROUND(G49*24,0)</f>
        <v>24</v>
      </c>
      <c r="G49" s="14">
        <f>G50-G48-G47-G46-G45</f>
        <v>1</v>
      </c>
      <c r="H49" s="19" t="s">
        <v>13</v>
      </c>
      <c r="I49" s="28">
        <f t="shared" si="1"/>
        <v>1</v>
      </c>
      <c r="J49" s="17">
        <f>I49</f>
        <v>1</v>
      </c>
      <c r="K49" s="18">
        <f>I49-J49</f>
        <v>0</v>
      </c>
      <c r="L49" s="17">
        <f>I49</f>
        <v>1</v>
      </c>
      <c r="M49" s="18">
        <f>I49-L49</f>
        <v>0</v>
      </c>
      <c r="N49" s="26"/>
    </row>
    <row r="50" spans="1:14" ht="13.5" thickBot="1">
      <c r="A50" s="80"/>
      <c r="B50" s="84"/>
      <c r="C50" s="63"/>
      <c r="D50" s="19" t="s">
        <v>34</v>
      </c>
      <c r="E50" s="30">
        <f>ROUND(F50/E45,0)</f>
        <v>13</v>
      </c>
      <c r="F50" s="155">
        <f>1152-F40-F10</f>
        <v>338</v>
      </c>
      <c r="G50" s="14">
        <f>E50</f>
        <v>13</v>
      </c>
      <c r="H50" s="19"/>
      <c r="I50" s="28">
        <f t="shared" si="1"/>
        <v>13</v>
      </c>
      <c r="J50" s="63">
        <f>J45+K45+J46+K46+J47+K47+J48+K48+J49+K49</f>
        <v>13</v>
      </c>
      <c r="K50" s="90"/>
      <c r="L50" s="63">
        <f>L45+M45+L46+M46+L47+M47+L48+M48+L49+M49</f>
        <v>13</v>
      </c>
      <c r="M50" s="90"/>
      <c r="N50" s="26"/>
    </row>
    <row r="51" spans="1:14" ht="12.75">
      <c r="A51" s="80"/>
      <c r="B51" s="84"/>
      <c r="C51" s="63"/>
      <c r="D51" s="88" t="s">
        <v>40</v>
      </c>
      <c r="E51" s="158"/>
      <c r="F51" s="88"/>
      <c r="G51" s="88"/>
      <c r="H51" s="89"/>
      <c r="I51" s="28">
        <f>I50</f>
        <v>13</v>
      </c>
      <c r="J51" s="63">
        <f>J50+SUM(K45:K49)</f>
        <v>19</v>
      </c>
      <c r="K51" s="90"/>
      <c r="L51" s="63">
        <f>L50+SUM(M45:M49)</f>
        <v>21</v>
      </c>
      <c r="M51" s="90"/>
      <c r="N51" s="26"/>
    </row>
    <row r="52" spans="1:14" ht="12.75">
      <c r="A52" s="80"/>
      <c r="B52" s="84"/>
      <c r="C52" s="63"/>
      <c r="D52" s="88" t="s">
        <v>41</v>
      </c>
      <c r="E52" s="88"/>
      <c r="F52" s="88"/>
      <c r="G52" s="88"/>
      <c r="H52" s="89"/>
      <c r="I52" s="28">
        <f>I51*E45</f>
        <v>338</v>
      </c>
      <c r="J52" s="63">
        <f>J51*E45</f>
        <v>494</v>
      </c>
      <c r="K52" s="90"/>
      <c r="L52" s="63">
        <f>ROUND(L51*E45,0)</f>
        <v>546</v>
      </c>
      <c r="M52" s="90"/>
      <c r="N52" s="26"/>
    </row>
    <row r="53" spans="1:14" ht="12.75">
      <c r="A53" s="80"/>
      <c r="B53" s="84"/>
      <c r="C53" s="63"/>
      <c r="D53" s="88" t="s">
        <v>42</v>
      </c>
      <c r="E53" s="88"/>
      <c r="F53" s="88"/>
      <c r="G53" s="88"/>
      <c r="H53" s="89"/>
      <c r="I53" s="28">
        <f>1152/84*E45</f>
        <v>356.57142857142856</v>
      </c>
      <c r="J53" s="63">
        <f>(1152/84*E45)+(J3/48*11.5*E45)</f>
        <v>506.07142857142856</v>
      </c>
      <c r="K53" s="90"/>
      <c r="L53" s="63">
        <f>(1152/84*E45)+(L3/48*11.5*E45)</f>
        <v>574.5922619047619</v>
      </c>
      <c r="M53" s="90"/>
      <c r="N53" s="26"/>
    </row>
    <row r="54" spans="1:14" ht="13.5" thickBot="1">
      <c r="A54" s="80"/>
      <c r="B54" s="84"/>
      <c r="C54" s="121"/>
      <c r="D54" s="86" t="s">
        <v>43</v>
      </c>
      <c r="E54" s="86"/>
      <c r="F54" s="86"/>
      <c r="G54" s="86"/>
      <c r="H54" s="87"/>
      <c r="I54" s="29">
        <f>I53-I52</f>
        <v>18.571428571428555</v>
      </c>
      <c r="J54" s="121">
        <f>J53-J52</f>
        <v>12.071428571428555</v>
      </c>
      <c r="K54" s="122"/>
      <c r="L54" s="121">
        <f>L53-L52</f>
        <v>28.592261904761926</v>
      </c>
      <c r="M54" s="122"/>
      <c r="N54" s="26"/>
    </row>
    <row r="55" spans="1:14" ht="13.5" thickBot="1">
      <c r="A55" s="80"/>
      <c r="B55" s="84"/>
      <c r="C55" s="105" t="s">
        <v>44</v>
      </c>
      <c r="D55" s="106"/>
      <c r="E55" s="106"/>
      <c r="F55" s="106"/>
      <c r="G55" s="106"/>
      <c r="H55" s="72"/>
      <c r="I55" s="30">
        <f>I54+I44+I14</f>
        <v>-5.684341886080802E-14</v>
      </c>
      <c r="J55" s="73">
        <f>J54+J44+J14</f>
        <v>-21.000000000000114</v>
      </c>
      <c r="K55" s="74"/>
      <c r="L55" s="73">
        <f>L54+L44+L14</f>
        <v>47.374999999999886</v>
      </c>
      <c r="M55" s="74"/>
      <c r="N55" s="26"/>
    </row>
    <row r="56" spans="1:13" ht="13.5" thickBot="1">
      <c r="A56" s="80"/>
      <c r="B56" s="125"/>
      <c r="C56" s="97" t="s">
        <v>39</v>
      </c>
      <c r="D56" s="102"/>
      <c r="E56" s="102"/>
      <c r="F56" s="102">
        <f>F50+F40+F10</f>
        <v>1152</v>
      </c>
      <c r="G56" s="102"/>
      <c r="H56" s="102"/>
      <c r="I56" s="103"/>
      <c r="J56" s="103"/>
      <c r="K56" s="103"/>
      <c r="L56" s="103"/>
      <c r="M56" s="104"/>
    </row>
    <row r="57" spans="1:13" ht="12.75">
      <c r="A57" s="80"/>
      <c r="B57" s="83" t="s">
        <v>14</v>
      </c>
      <c r="C57" s="64" t="s">
        <v>2</v>
      </c>
      <c r="D57" s="150" t="s">
        <v>15</v>
      </c>
      <c r="E57" s="152">
        <f>36-E59</f>
        <v>28</v>
      </c>
      <c r="F57" s="151">
        <f>G57*E57</f>
        <v>112</v>
      </c>
      <c r="G57" s="25">
        <f>ROUND(E61*0.2858,0)</f>
        <v>4</v>
      </c>
      <c r="H57" s="4" t="s">
        <v>26</v>
      </c>
      <c r="I57" s="31">
        <f>G57</f>
        <v>4</v>
      </c>
      <c r="J57" s="3">
        <f>I57/4*3</f>
        <v>3</v>
      </c>
      <c r="K57" s="4">
        <f>I57-J57</f>
        <v>1</v>
      </c>
      <c r="L57" s="3">
        <f>I57/4*2</f>
        <v>2</v>
      </c>
      <c r="M57" s="4">
        <f>I57-L57</f>
        <v>2</v>
      </c>
    </row>
    <row r="58" spans="1:13" ht="13.5" thickBot="1">
      <c r="A58" s="80"/>
      <c r="B58" s="84"/>
      <c r="C58" s="66"/>
      <c r="D58" s="15" t="s">
        <v>16</v>
      </c>
      <c r="E58" s="153" t="s">
        <v>50</v>
      </c>
      <c r="F58" s="12">
        <f>G58*E57</f>
        <v>84</v>
      </c>
      <c r="G58" s="13">
        <f>ROUND(E61*0.2143,0)</f>
        <v>3</v>
      </c>
      <c r="H58" s="11" t="s">
        <v>13</v>
      </c>
      <c r="I58" s="32">
        <f>G58</f>
        <v>3</v>
      </c>
      <c r="J58" s="10">
        <f>I58/3*2</f>
        <v>2</v>
      </c>
      <c r="K58" s="11">
        <f>I58-J58</f>
        <v>1</v>
      </c>
      <c r="L58" s="10">
        <f>I58/3</f>
        <v>1</v>
      </c>
      <c r="M58" s="11">
        <f>I58-L58</f>
        <v>2</v>
      </c>
    </row>
    <row r="59" spans="1:13" ht="12.75">
      <c r="A59" s="80"/>
      <c r="B59" s="84"/>
      <c r="C59" s="66"/>
      <c r="D59" s="13" t="s">
        <v>17</v>
      </c>
      <c r="E59" s="135">
        <v>8</v>
      </c>
      <c r="F59" s="13">
        <f>G59*E57</f>
        <v>84</v>
      </c>
      <c r="G59" s="13">
        <f>ROUND(E61*0.2143,0)</f>
        <v>3</v>
      </c>
      <c r="H59" s="11" t="s">
        <v>26</v>
      </c>
      <c r="I59" s="32">
        <f>G59</f>
        <v>3</v>
      </c>
      <c r="J59" s="10">
        <f>I59/3*2</f>
        <v>2</v>
      </c>
      <c r="K59" s="11">
        <f>I59-J59</f>
        <v>1</v>
      </c>
      <c r="L59" s="10">
        <f>I59/3</f>
        <v>1</v>
      </c>
      <c r="M59" s="11">
        <f>I59-L59</f>
        <v>2</v>
      </c>
    </row>
    <row r="60" spans="1:13" ht="12.75">
      <c r="A60" s="80"/>
      <c r="B60" s="84"/>
      <c r="C60" s="66"/>
      <c r="D60" s="13" t="s">
        <v>18</v>
      </c>
      <c r="E60" s="149" t="s">
        <v>49</v>
      </c>
      <c r="F60" s="13">
        <f>G60*E57</f>
        <v>84</v>
      </c>
      <c r="G60" s="13">
        <f>G61-G59-G58-G57</f>
        <v>3</v>
      </c>
      <c r="H60" s="11" t="s">
        <v>13</v>
      </c>
      <c r="I60" s="32">
        <f>G60</f>
        <v>3</v>
      </c>
      <c r="J60" s="10">
        <f>I60/4*2</f>
        <v>1.5</v>
      </c>
      <c r="K60" s="11">
        <f>I60-J60</f>
        <v>1.5</v>
      </c>
      <c r="L60" s="10">
        <f>I60/4*2</f>
        <v>1.5</v>
      </c>
      <c r="M60" s="11">
        <f>I60-L60</f>
        <v>1.5</v>
      </c>
    </row>
    <row r="61" spans="1:13" ht="12.75">
      <c r="A61" s="80"/>
      <c r="B61" s="84"/>
      <c r="C61" s="66"/>
      <c r="D61" s="13" t="s">
        <v>33</v>
      </c>
      <c r="E61" s="36">
        <v>13</v>
      </c>
      <c r="F61" s="13">
        <f>E57*E61</f>
        <v>364</v>
      </c>
      <c r="G61" s="13">
        <f>E61</f>
        <v>13</v>
      </c>
      <c r="H61" s="11"/>
      <c r="I61" s="32">
        <f>G61</f>
        <v>13</v>
      </c>
      <c r="J61" s="63">
        <f>SUM(J57:K60)</f>
        <v>13</v>
      </c>
      <c r="K61" s="90"/>
      <c r="L61" s="66">
        <f>SUM(L57:M60)</f>
        <v>13</v>
      </c>
      <c r="M61" s="67"/>
    </row>
    <row r="62" spans="1:13" ht="12.75">
      <c r="A62" s="80"/>
      <c r="B62" s="84"/>
      <c r="C62" s="66"/>
      <c r="D62" s="88" t="s">
        <v>35</v>
      </c>
      <c r="E62" s="88"/>
      <c r="F62" s="88"/>
      <c r="G62" s="88"/>
      <c r="H62" s="90"/>
      <c r="I62" s="32">
        <f>I61</f>
        <v>13</v>
      </c>
      <c r="J62" s="66">
        <f>J61+SUM(K57:K60)</f>
        <v>17.5</v>
      </c>
      <c r="K62" s="67"/>
      <c r="L62" s="66">
        <f>L61+SUM(M57:M60)</f>
        <v>20.5</v>
      </c>
      <c r="M62" s="67"/>
    </row>
    <row r="63" spans="1:13" ht="12.75">
      <c r="A63" s="80"/>
      <c r="B63" s="84"/>
      <c r="C63" s="66"/>
      <c r="D63" s="88" t="s">
        <v>36</v>
      </c>
      <c r="E63" s="88"/>
      <c r="F63" s="88"/>
      <c r="G63" s="88"/>
      <c r="H63" s="90"/>
      <c r="I63" s="32">
        <f>I62*E57</f>
        <v>364</v>
      </c>
      <c r="J63" s="66">
        <f>J62*E57</f>
        <v>490</v>
      </c>
      <c r="K63" s="67"/>
      <c r="L63" s="66">
        <f>L62*E57</f>
        <v>574</v>
      </c>
      <c r="M63" s="67"/>
    </row>
    <row r="64" spans="1:13" ht="12.75">
      <c r="A64" s="80"/>
      <c r="B64" s="84"/>
      <c r="C64" s="66"/>
      <c r="D64" s="88" t="s">
        <v>37</v>
      </c>
      <c r="E64" s="88"/>
      <c r="F64" s="88"/>
      <c r="G64" s="88"/>
      <c r="H64" s="90"/>
      <c r="I64" s="32">
        <f>1152/84*E57</f>
        <v>384</v>
      </c>
      <c r="J64" s="66">
        <f>(1152/84*E57)+(J3/48*11.5*E57)</f>
        <v>545</v>
      </c>
      <c r="K64" s="67"/>
      <c r="L64" s="66">
        <f>(1152/84*E57)+(L3/48*11.5*E57)</f>
        <v>618.7916666666666</v>
      </c>
      <c r="M64" s="67"/>
    </row>
    <row r="65" spans="1:13" ht="13.5" thickBot="1">
      <c r="A65" s="80"/>
      <c r="B65" s="84"/>
      <c r="C65" s="128"/>
      <c r="D65" s="86" t="s">
        <v>38</v>
      </c>
      <c r="E65" s="86"/>
      <c r="F65" s="86"/>
      <c r="G65" s="86"/>
      <c r="H65" s="122"/>
      <c r="I65" s="32">
        <f>I64-I63</f>
        <v>20</v>
      </c>
      <c r="J65" s="66">
        <f>J64-J63</f>
        <v>55</v>
      </c>
      <c r="K65" s="67"/>
      <c r="L65" s="66">
        <f>L64-L63</f>
        <v>44.79166666666663</v>
      </c>
      <c r="M65" s="67"/>
    </row>
    <row r="66" spans="1:13" ht="12.75">
      <c r="A66" s="80"/>
      <c r="B66" s="84"/>
      <c r="C66" s="105" t="s">
        <v>0</v>
      </c>
      <c r="D66" s="62" t="s">
        <v>15</v>
      </c>
      <c r="E66" s="160">
        <f>84-E57-E4</f>
        <v>26</v>
      </c>
      <c r="F66" s="154">
        <f>ROUND(G66*E66,0)</f>
        <v>78</v>
      </c>
      <c r="G66" s="21">
        <f>ROUND(E70*0.2308,0)</f>
        <v>3</v>
      </c>
      <c r="H66" s="24" t="s">
        <v>26</v>
      </c>
      <c r="I66" s="28">
        <f>G66</f>
        <v>3</v>
      </c>
      <c r="J66" s="17">
        <f>I66/3*2</f>
        <v>2</v>
      </c>
      <c r="K66" s="18">
        <f>I66-J66</f>
        <v>1</v>
      </c>
      <c r="L66" s="17">
        <f>I66/3</f>
        <v>1</v>
      </c>
      <c r="M66" s="18">
        <f>I66-L66</f>
        <v>2</v>
      </c>
    </row>
    <row r="67" spans="1:13" ht="13.5" thickBot="1">
      <c r="A67" s="80"/>
      <c r="B67" s="84"/>
      <c r="C67" s="63"/>
      <c r="D67" s="19" t="s">
        <v>16</v>
      </c>
      <c r="E67" s="161" t="s">
        <v>50</v>
      </c>
      <c r="F67" s="155">
        <f>ROUND(G67*E66,0)</f>
        <v>78</v>
      </c>
      <c r="G67" s="14">
        <f>ROUND(E70*0.2308,0)</f>
        <v>3</v>
      </c>
      <c r="H67" s="18" t="s">
        <v>13</v>
      </c>
      <c r="I67" s="28">
        <f>G67</f>
        <v>3</v>
      </c>
      <c r="J67" s="17">
        <f>I67/3*2</f>
        <v>2</v>
      </c>
      <c r="K67" s="18">
        <f>I67-J67</f>
        <v>1</v>
      </c>
      <c r="L67" s="17">
        <f>I67/3</f>
        <v>1</v>
      </c>
      <c r="M67" s="18">
        <f>I67-L67</f>
        <v>2</v>
      </c>
    </row>
    <row r="68" spans="1:13" ht="12.75">
      <c r="A68" s="80"/>
      <c r="B68" s="84"/>
      <c r="C68" s="63"/>
      <c r="D68" s="19" t="s">
        <v>17</v>
      </c>
      <c r="E68" s="160">
        <f>22-E59-E6</f>
        <v>8</v>
      </c>
      <c r="F68" s="155">
        <f>ROUND(G68*E66,0)</f>
        <v>78</v>
      </c>
      <c r="G68" s="14">
        <f>ROUND(E70*0.2308,0)</f>
        <v>3</v>
      </c>
      <c r="H68" s="18" t="s">
        <v>26</v>
      </c>
      <c r="I68" s="28">
        <f>G68</f>
        <v>3</v>
      </c>
      <c r="J68" s="17">
        <f>I68/3</f>
        <v>1</v>
      </c>
      <c r="K68" s="18">
        <f>I68-J68</f>
        <v>2</v>
      </c>
      <c r="L68" s="17">
        <f>I68/3</f>
        <v>1</v>
      </c>
      <c r="M68" s="18">
        <f>I68-L68</f>
        <v>2</v>
      </c>
    </row>
    <row r="69" spans="1:13" ht="13.5" thickBot="1">
      <c r="A69" s="80"/>
      <c r="B69" s="84"/>
      <c r="C69" s="63"/>
      <c r="D69" s="19" t="s">
        <v>18</v>
      </c>
      <c r="E69" s="161" t="s">
        <v>49</v>
      </c>
      <c r="F69" s="155">
        <f>F70-F68-F67-F66</f>
        <v>104</v>
      </c>
      <c r="G69" s="14">
        <f>G70-G68-G67-G66</f>
        <v>4</v>
      </c>
      <c r="H69" s="18" t="s">
        <v>13</v>
      </c>
      <c r="I69" s="28">
        <f>G69</f>
        <v>4</v>
      </c>
      <c r="J69" s="17">
        <f>I69/4*2</f>
        <v>2</v>
      </c>
      <c r="K69" s="18">
        <f>I69-J69</f>
        <v>2</v>
      </c>
      <c r="L69" s="17">
        <f>I69/4</f>
        <v>1</v>
      </c>
      <c r="M69" s="18">
        <f>I69-L69</f>
        <v>3</v>
      </c>
    </row>
    <row r="70" spans="1:13" ht="13.5" thickBot="1">
      <c r="A70" s="80"/>
      <c r="B70" s="84"/>
      <c r="C70" s="63"/>
      <c r="D70" s="19" t="s">
        <v>34</v>
      </c>
      <c r="E70" s="30">
        <f>(1152-F61-F10)/E66</f>
        <v>13</v>
      </c>
      <c r="F70" s="155">
        <f>1152-F61-F10</f>
        <v>338</v>
      </c>
      <c r="G70" s="14">
        <f>E70</f>
        <v>13</v>
      </c>
      <c r="H70" s="18"/>
      <c r="I70" s="28">
        <f>G70</f>
        <v>13</v>
      </c>
      <c r="J70" s="63">
        <f>SUM(J66:K69)</f>
        <v>13</v>
      </c>
      <c r="K70" s="90"/>
      <c r="L70" s="63">
        <f>SUM(L66:M69)</f>
        <v>13</v>
      </c>
      <c r="M70" s="90"/>
    </row>
    <row r="71" spans="1:13" ht="12.75">
      <c r="A71" s="81"/>
      <c r="B71" s="84"/>
      <c r="C71" s="63"/>
      <c r="D71" s="88" t="s">
        <v>40</v>
      </c>
      <c r="E71" s="158"/>
      <c r="F71" s="88"/>
      <c r="G71" s="88"/>
      <c r="H71" s="90"/>
      <c r="I71" s="28">
        <f>I70</f>
        <v>13</v>
      </c>
      <c r="J71" s="63">
        <f>ROUND(J70+SUM(K66:K69),0)</f>
        <v>19</v>
      </c>
      <c r="K71" s="90"/>
      <c r="L71" s="63">
        <f>ROUND(L70+SUM(M66:M69),0)</f>
        <v>22</v>
      </c>
      <c r="M71" s="90"/>
    </row>
    <row r="72" spans="1:13" ht="12.75">
      <c r="A72" s="81"/>
      <c r="B72" s="84"/>
      <c r="C72" s="63"/>
      <c r="D72" s="88" t="s">
        <v>41</v>
      </c>
      <c r="E72" s="88"/>
      <c r="F72" s="88"/>
      <c r="G72" s="88"/>
      <c r="H72" s="90"/>
      <c r="I72" s="28">
        <f>I71*E66</f>
        <v>338</v>
      </c>
      <c r="J72" s="63">
        <f>J71*E66</f>
        <v>494</v>
      </c>
      <c r="K72" s="90"/>
      <c r="L72" s="63">
        <f>L71*E66</f>
        <v>572</v>
      </c>
      <c r="M72" s="90"/>
    </row>
    <row r="73" spans="1:13" ht="12.75">
      <c r="A73" s="81"/>
      <c r="B73" s="84"/>
      <c r="C73" s="63"/>
      <c r="D73" s="88" t="s">
        <v>42</v>
      </c>
      <c r="E73" s="88"/>
      <c r="F73" s="88"/>
      <c r="G73" s="88"/>
      <c r="H73" s="90"/>
      <c r="I73" s="28">
        <f>1152/84*E66</f>
        <v>356.57142857142856</v>
      </c>
      <c r="J73" s="63">
        <f>(1152/84*E66)+(J3/48*11.5*E66)</f>
        <v>506.07142857142856</v>
      </c>
      <c r="K73" s="90"/>
      <c r="L73" s="63">
        <f>(1152/84*E66)+(L3/48*11.5*E66)</f>
        <v>574.5922619047619</v>
      </c>
      <c r="M73" s="90"/>
    </row>
    <row r="74" spans="1:13" ht="13.5" thickBot="1">
      <c r="A74" s="81"/>
      <c r="B74" s="84"/>
      <c r="C74" s="97"/>
      <c r="D74" s="102" t="s">
        <v>43</v>
      </c>
      <c r="E74" s="102"/>
      <c r="F74" s="102"/>
      <c r="G74" s="102"/>
      <c r="H74" s="98"/>
      <c r="I74" s="33">
        <f>I73-I72</f>
        <v>18.571428571428555</v>
      </c>
      <c r="J74" s="97">
        <f>J73-J72</f>
        <v>12.071428571428555</v>
      </c>
      <c r="K74" s="98"/>
      <c r="L74" s="97">
        <f>L73-L72</f>
        <v>2.5922619047619264</v>
      </c>
      <c r="M74" s="98"/>
    </row>
    <row r="75" spans="1:13" ht="13.5" thickBot="1">
      <c r="A75" s="81"/>
      <c r="B75" s="84"/>
      <c r="C75" s="105" t="s">
        <v>44</v>
      </c>
      <c r="D75" s="106"/>
      <c r="E75" s="106"/>
      <c r="F75" s="106"/>
      <c r="G75" s="106"/>
      <c r="H75" s="72"/>
      <c r="I75" s="30">
        <f>I74+I65+I14</f>
        <v>-5.684341886080802E-14</v>
      </c>
      <c r="J75" s="73">
        <f>J74+J65+J14</f>
        <v>20.999999999999886</v>
      </c>
      <c r="K75" s="74"/>
      <c r="L75" s="73">
        <f>L74+L65+L14</f>
        <v>35.374999999999886</v>
      </c>
      <c r="M75" s="74"/>
    </row>
    <row r="76" spans="1:13" ht="13.5" thickBot="1">
      <c r="A76" s="82"/>
      <c r="B76" s="85"/>
      <c r="C76" s="121" t="s">
        <v>39</v>
      </c>
      <c r="D76" s="86"/>
      <c r="E76" s="86"/>
      <c r="F76" s="86">
        <f>F70+F61+F10</f>
        <v>1152</v>
      </c>
      <c r="G76" s="86"/>
      <c r="H76" s="86"/>
      <c r="I76" s="126"/>
      <c r="J76" s="126"/>
      <c r="K76" s="126"/>
      <c r="L76" s="126"/>
      <c r="M76" s="127"/>
    </row>
    <row r="77" ht="12.75">
      <c r="A77" s="2"/>
    </row>
  </sheetData>
  <sheetProtection password="DAC1" sheet="1" formatCells="0" formatColumns="0" formatRows="0" insertColumns="0" insertRows="0" insertHyperlinks="0" deleteColumns="0" deleteRows="0" sort="0" autoFilter="0" pivotTables="0"/>
  <mergeCells count="139">
    <mergeCell ref="L73:M73"/>
    <mergeCell ref="J74:K74"/>
    <mergeCell ref="L74:M74"/>
    <mergeCell ref="C57:C65"/>
    <mergeCell ref="C66:C74"/>
    <mergeCell ref="D73:H73"/>
    <mergeCell ref="D74:H74"/>
    <mergeCell ref="L65:M65"/>
    <mergeCell ref="J63:K63"/>
    <mergeCell ref="L63:M63"/>
    <mergeCell ref="L75:M75"/>
    <mergeCell ref="C76:E76"/>
    <mergeCell ref="F76:M76"/>
    <mergeCell ref="J70:K70"/>
    <mergeCell ref="L70:M70"/>
    <mergeCell ref="J71:K71"/>
    <mergeCell ref="L71:M71"/>
    <mergeCell ref="J72:K72"/>
    <mergeCell ref="L72:M72"/>
    <mergeCell ref="C75:H75"/>
    <mergeCell ref="J75:K75"/>
    <mergeCell ref="J73:K73"/>
    <mergeCell ref="J65:K65"/>
    <mergeCell ref="D71:H71"/>
    <mergeCell ref="D72:H72"/>
    <mergeCell ref="L64:M64"/>
    <mergeCell ref="J61:K61"/>
    <mergeCell ref="L61:M61"/>
    <mergeCell ref="J62:K62"/>
    <mergeCell ref="L62:M62"/>
    <mergeCell ref="D64:H64"/>
    <mergeCell ref="D65:H65"/>
    <mergeCell ref="J64:K64"/>
    <mergeCell ref="J42:K42"/>
    <mergeCell ref="L42:M42"/>
    <mergeCell ref="J43:K43"/>
    <mergeCell ref="D63:H63"/>
    <mergeCell ref="C56:E56"/>
    <mergeCell ref="F56:M56"/>
    <mergeCell ref="J50:K50"/>
    <mergeCell ref="L50:M50"/>
    <mergeCell ref="J51:K51"/>
    <mergeCell ref="L51:M51"/>
    <mergeCell ref="B15:B34"/>
    <mergeCell ref="C35:C44"/>
    <mergeCell ref="C45:C54"/>
    <mergeCell ref="D54:H54"/>
    <mergeCell ref="D21:H21"/>
    <mergeCell ref="D22:H22"/>
    <mergeCell ref="D23:H23"/>
    <mergeCell ref="B35:B56"/>
    <mergeCell ref="C34:E34"/>
    <mergeCell ref="J53:K53"/>
    <mergeCell ref="C55:H55"/>
    <mergeCell ref="J55:K55"/>
    <mergeCell ref="L55:M55"/>
    <mergeCell ref="L53:M53"/>
    <mergeCell ref="J54:K54"/>
    <mergeCell ref="L54:M54"/>
    <mergeCell ref="J44:K44"/>
    <mergeCell ref="L44:M44"/>
    <mergeCell ref="D51:H51"/>
    <mergeCell ref="D52:H52"/>
    <mergeCell ref="J52:K52"/>
    <mergeCell ref="L52:M52"/>
    <mergeCell ref="L43:M43"/>
    <mergeCell ref="L33:M33"/>
    <mergeCell ref="C15:C23"/>
    <mergeCell ref="C24:C32"/>
    <mergeCell ref="D41:H41"/>
    <mergeCell ref="J40:K40"/>
    <mergeCell ref="L40:M40"/>
    <mergeCell ref="J41:K41"/>
    <mergeCell ref="L41:M41"/>
    <mergeCell ref="L19:M19"/>
    <mergeCell ref="D29:H29"/>
    <mergeCell ref="D30:H30"/>
    <mergeCell ref="D31:H31"/>
    <mergeCell ref="J28:K28"/>
    <mergeCell ref="L28:M28"/>
    <mergeCell ref="J29:K29"/>
    <mergeCell ref="J30:K30"/>
    <mergeCell ref="J31:K31"/>
    <mergeCell ref="D20:H20"/>
    <mergeCell ref="J22:K22"/>
    <mergeCell ref="L22:M22"/>
    <mergeCell ref="J23:K23"/>
    <mergeCell ref="L23:M23"/>
    <mergeCell ref="J21:K21"/>
    <mergeCell ref="L21:M21"/>
    <mergeCell ref="D32:H32"/>
    <mergeCell ref="L29:M29"/>
    <mergeCell ref="L30:M30"/>
    <mergeCell ref="L31:M31"/>
    <mergeCell ref="J32:K32"/>
    <mergeCell ref="L32:M32"/>
    <mergeCell ref="J14:K14"/>
    <mergeCell ref="D14:H14"/>
    <mergeCell ref="G2:G3"/>
    <mergeCell ref="D11:H11"/>
    <mergeCell ref="J10:K10"/>
    <mergeCell ref="J11:K11"/>
    <mergeCell ref="J2:K2"/>
    <mergeCell ref="D2:D3"/>
    <mergeCell ref="E2:E3"/>
    <mergeCell ref="D10:E10"/>
    <mergeCell ref="F2:F3"/>
    <mergeCell ref="D12:H12"/>
    <mergeCell ref="H1:H3"/>
    <mergeCell ref="J12:K12"/>
    <mergeCell ref="E7:E8"/>
    <mergeCell ref="J13:K13"/>
    <mergeCell ref="I1:M1"/>
    <mergeCell ref="L13:M13"/>
    <mergeCell ref="L10:M10"/>
    <mergeCell ref="L11:M11"/>
    <mergeCell ref="L3:M3"/>
    <mergeCell ref="J3:K3"/>
    <mergeCell ref="L12:M12"/>
    <mergeCell ref="L2:M2"/>
    <mergeCell ref="L14:M14"/>
    <mergeCell ref="D13:H13"/>
    <mergeCell ref="F34:M34"/>
    <mergeCell ref="C33:H33"/>
    <mergeCell ref="J33:K33"/>
    <mergeCell ref="J20:K20"/>
    <mergeCell ref="J19:K19"/>
    <mergeCell ref="L20:M20"/>
    <mergeCell ref="B4:C14"/>
    <mergeCell ref="A1:A3"/>
    <mergeCell ref="D1:G1"/>
    <mergeCell ref="A4:A76"/>
    <mergeCell ref="B57:B76"/>
    <mergeCell ref="D44:H44"/>
    <mergeCell ref="D53:H53"/>
    <mergeCell ref="D62:H62"/>
    <mergeCell ref="D43:H43"/>
    <mergeCell ref="D42:H42"/>
    <mergeCell ref="B1:C3"/>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portrait" paperSize="9" scale="74" r:id="rId1"/>
  <headerFooter alignWithMargins="0">
    <oddHeader>&amp;LAcadémie d'Amiens&amp;C&amp;"Arial,Gras"&amp;14Baccalauréats professionnels en 3 ans
Horaires indicatifs&amp;RRentrée 2009</oddHeader>
  </headerFooter>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J1" activeCellId="5" sqref="D1 D7 D13 J13 J7 J1"/>
    </sheetView>
  </sheetViews>
  <sheetFormatPr defaultColWidth="11.421875" defaultRowHeight="12.75"/>
  <cols>
    <col min="1" max="1" width="14.57421875" style="42" bestFit="1" customWidth="1"/>
    <col min="2" max="2" width="9.140625" style="42" bestFit="1" customWidth="1"/>
    <col min="3" max="3" width="4.8515625" style="42" bestFit="1" customWidth="1"/>
    <col min="4" max="4" width="11.28125" style="42" customWidth="1"/>
    <col min="5" max="5" width="12.57421875" style="42" customWidth="1"/>
    <col min="6" max="6" width="9.421875" style="42" customWidth="1"/>
    <col min="7" max="7" width="14.57421875" style="42" bestFit="1" customWidth="1"/>
    <col min="8" max="8" width="9.140625" style="42" bestFit="1" customWidth="1"/>
    <col min="9" max="9" width="4.8515625" style="42" bestFit="1" customWidth="1"/>
    <col min="10" max="10" width="12.28125" style="42" customWidth="1"/>
    <col min="11" max="11" width="13.28125" style="42" customWidth="1"/>
    <col min="12" max="16384" width="11.421875" style="42" customWidth="1"/>
  </cols>
  <sheetData>
    <row r="1" spans="1:11" s="39" customFormat="1" ht="36">
      <c r="A1" s="37" t="s">
        <v>3</v>
      </c>
      <c r="B1" s="37" t="s">
        <v>49</v>
      </c>
      <c r="C1" s="37" t="s">
        <v>50</v>
      </c>
      <c r="D1" s="38" t="s">
        <v>51</v>
      </c>
      <c r="E1" s="38" t="s">
        <v>52</v>
      </c>
      <c r="G1" s="37" t="s">
        <v>3</v>
      </c>
      <c r="H1" s="37" t="s">
        <v>49</v>
      </c>
      <c r="I1" s="37" t="s">
        <v>50</v>
      </c>
      <c r="J1" s="38" t="s">
        <v>51</v>
      </c>
      <c r="K1" s="38" t="s">
        <v>52</v>
      </c>
    </row>
    <row r="2" spans="1:11" ht="18">
      <c r="A2" s="40" t="s">
        <v>1</v>
      </c>
      <c r="B2" s="41">
        <v>4</v>
      </c>
      <c r="C2" s="40">
        <f>36-B2</f>
        <v>32</v>
      </c>
      <c r="D2" s="41">
        <v>14</v>
      </c>
      <c r="E2" s="40">
        <f>D2*C2</f>
        <v>448</v>
      </c>
      <c r="G2" s="40" t="s">
        <v>1</v>
      </c>
      <c r="H2" s="43">
        <v>6</v>
      </c>
      <c r="I2" s="40">
        <f>36-H2</f>
        <v>30</v>
      </c>
      <c r="J2" s="43">
        <v>15</v>
      </c>
      <c r="K2" s="40">
        <f>J2*I2</f>
        <v>450</v>
      </c>
    </row>
    <row r="3" spans="1:11" ht="15" customHeight="1">
      <c r="A3" s="40" t="s">
        <v>2</v>
      </c>
      <c r="B3" s="41">
        <v>8</v>
      </c>
      <c r="C3" s="40">
        <f>36-B3</f>
        <v>28</v>
      </c>
      <c r="D3" s="41">
        <v>14</v>
      </c>
      <c r="E3" s="40">
        <f>D3*C3</f>
        <v>392</v>
      </c>
      <c r="G3" s="40" t="s">
        <v>2</v>
      </c>
      <c r="H3" s="43">
        <v>8</v>
      </c>
      <c r="I3" s="40">
        <f>36-H3</f>
        <v>28</v>
      </c>
      <c r="J3" s="43">
        <v>13</v>
      </c>
      <c r="K3" s="40">
        <f>J3*I3</f>
        <v>364</v>
      </c>
    </row>
    <row r="4" spans="1:11" ht="18">
      <c r="A4" s="40" t="s">
        <v>0</v>
      </c>
      <c r="B4" s="40">
        <f>B5-B2-B3</f>
        <v>10</v>
      </c>
      <c r="C4" s="40">
        <f>C5-C2-C3</f>
        <v>24</v>
      </c>
      <c r="D4" s="40">
        <f>E4/C4</f>
        <v>13</v>
      </c>
      <c r="E4" s="40">
        <f>E5-E2-E3</f>
        <v>312</v>
      </c>
      <c r="G4" s="40" t="s">
        <v>0</v>
      </c>
      <c r="H4" s="40">
        <f>H5-H2-H3</f>
        <v>8</v>
      </c>
      <c r="I4" s="40">
        <f>I5-I2-I3</f>
        <v>26</v>
      </c>
      <c r="J4" s="40">
        <f>K4/I4</f>
        <v>13</v>
      </c>
      <c r="K4" s="40">
        <f>K5-K2-K3</f>
        <v>338</v>
      </c>
    </row>
    <row r="5" spans="1:11" ht="18">
      <c r="A5" s="40" t="s">
        <v>53</v>
      </c>
      <c r="B5" s="40">
        <v>22</v>
      </c>
      <c r="C5" s="40">
        <v>84</v>
      </c>
      <c r="D5" s="40"/>
      <c r="E5" s="40">
        <v>1152</v>
      </c>
      <c r="G5" s="40" t="s">
        <v>53</v>
      </c>
      <c r="H5" s="40">
        <v>22</v>
      </c>
      <c r="I5" s="40">
        <v>84</v>
      </c>
      <c r="J5" s="40">
        <f>SUM(J2:J4)</f>
        <v>41</v>
      </c>
      <c r="K5" s="40">
        <v>1152</v>
      </c>
    </row>
    <row r="6" ht="15" customHeight="1"/>
    <row r="7" spans="1:11" ht="36">
      <c r="A7" s="37" t="s">
        <v>3</v>
      </c>
      <c r="B7" s="37" t="s">
        <v>49</v>
      </c>
      <c r="C7" s="37" t="s">
        <v>50</v>
      </c>
      <c r="D7" s="38" t="s">
        <v>51</v>
      </c>
      <c r="E7" s="38" t="s">
        <v>52</v>
      </c>
      <c r="G7" s="37" t="s">
        <v>3</v>
      </c>
      <c r="H7" s="37" t="s">
        <v>49</v>
      </c>
      <c r="I7" s="37" t="s">
        <v>50</v>
      </c>
      <c r="J7" s="38" t="s">
        <v>51</v>
      </c>
      <c r="K7" s="38" t="s">
        <v>52</v>
      </c>
    </row>
    <row r="8" spans="1:11" ht="18">
      <c r="A8" s="40" t="s">
        <v>1</v>
      </c>
      <c r="B8" s="43">
        <v>5</v>
      </c>
      <c r="C8" s="40">
        <f>36-B8</f>
        <v>31</v>
      </c>
      <c r="D8" s="43">
        <v>14</v>
      </c>
      <c r="E8" s="40">
        <f>D8*C8</f>
        <v>434</v>
      </c>
      <c r="G8" s="40" t="s">
        <v>1</v>
      </c>
      <c r="H8" s="43">
        <v>4</v>
      </c>
      <c r="I8" s="40">
        <f>36-H8</f>
        <v>32</v>
      </c>
      <c r="J8" s="43">
        <v>13.25</v>
      </c>
      <c r="K8" s="40">
        <f>J8*I8</f>
        <v>424</v>
      </c>
    </row>
    <row r="9" spans="1:11" ht="15" customHeight="1">
      <c r="A9" s="40" t="s">
        <v>2</v>
      </c>
      <c r="B9" s="43">
        <v>7</v>
      </c>
      <c r="C9" s="40">
        <f>36-B9</f>
        <v>29</v>
      </c>
      <c r="D9" s="43">
        <v>14</v>
      </c>
      <c r="E9" s="40">
        <f>D9*C9</f>
        <v>406</v>
      </c>
      <c r="G9" s="40" t="s">
        <v>2</v>
      </c>
      <c r="H9" s="43">
        <v>8</v>
      </c>
      <c r="I9" s="40">
        <f>36-H9</f>
        <v>28</v>
      </c>
      <c r="J9" s="43">
        <v>14</v>
      </c>
      <c r="K9" s="40">
        <f>J9*I9</f>
        <v>392</v>
      </c>
    </row>
    <row r="10" spans="1:11" ht="18">
      <c r="A10" s="40" t="s">
        <v>0</v>
      </c>
      <c r="B10" s="40">
        <f>B11-B8-B9</f>
        <v>10</v>
      </c>
      <c r="C10" s="40">
        <f>C11-C8-C9</f>
        <v>24</v>
      </c>
      <c r="D10" s="40">
        <f>E10/C10</f>
        <v>13</v>
      </c>
      <c r="E10" s="40">
        <f>E11-E8-E9</f>
        <v>312</v>
      </c>
      <c r="G10" s="40" t="s">
        <v>0</v>
      </c>
      <c r="H10" s="40">
        <f>H11-H8-H9</f>
        <v>10</v>
      </c>
      <c r="I10" s="40">
        <f>I11-I8-I9</f>
        <v>24</v>
      </c>
      <c r="J10" s="40">
        <f>K10/I10</f>
        <v>14</v>
      </c>
      <c r="K10" s="40">
        <f>K11-K8-K9</f>
        <v>336</v>
      </c>
    </row>
    <row r="11" spans="1:11" ht="18">
      <c r="A11" s="40" t="s">
        <v>53</v>
      </c>
      <c r="B11" s="40">
        <v>22</v>
      </c>
      <c r="C11" s="40">
        <v>84</v>
      </c>
      <c r="D11" s="40">
        <f>SUM(D8:D10)</f>
        <v>41</v>
      </c>
      <c r="E11" s="40">
        <v>1152</v>
      </c>
      <c r="G11" s="40" t="s">
        <v>53</v>
      </c>
      <c r="H11" s="40">
        <v>22</v>
      </c>
      <c r="I11" s="40">
        <v>84</v>
      </c>
      <c r="J11" s="40">
        <f>SUM(J8:J10)</f>
        <v>41.25</v>
      </c>
      <c r="K11" s="40">
        <v>1152</v>
      </c>
    </row>
    <row r="13" spans="1:11" ht="36">
      <c r="A13" s="37" t="s">
        <v>3</v>
      </c>
      <c r="B13" s="37" t="s">
        <v>49</v>
      </c>
      <c r="C13" s="37" t="s">
        <v>50</v>
      </c>
      <c r="D13" s="38" t="s">
        <v>51</v>
      </c>
      <c r="E13" s="38" t="s">
        <v>52</v>
      </c>
      <c r="G13" s="37" t="s">
        <v>3</v>
      </c>
      <c r="H13" s="37" t="s">
        <v>49</v>
      </c>
      <c r="I13" s="37" t="s">
        <v>50</v>
      </c>
      <c r="J13" s="38" t="s">
        <v>51</v>
      </c>
      <c r="K13" s="38" t="s">
        <v>52</v>
      </c>
    </row>
    <row r="14" spans="1:11" ht="18">
      <c r="A14" s="40" t="s">
        <v>1</v>
      </c>
      <c r="B14" s="43">
        <v>7</v>
      </c>
      <c r="C14" s="40">
        <f>36-B14</f>
        <v>29</v>
      </c>
      <c r="D14" s="43">
        <v>14</v>
      </c>
      <c r="E14" s="40">
        <f>D14*C14</f>
        <v>406</v>
      </c>
      <c r="G14" s="40" t="s">
        <v>1</v>
      </c>
      <c r="H14" s="43">
        <v>3</v>
      </c>
      <c r="I14" s="40">
        <f>36-H14</f>
        <v>33</v>
      </c>
      <c r="J14" s="43">
        <v>14</v>
      </c>
      <c r="K14" s="40">
        <f>J14*I14</f>
        <v>462</v>
      </c>
    </row>
    <row r="15" spans="1:11" ht="18">
      <c r="A15" s="40" t="s">
        <v>2</v>
      </c>
      <c r="B15" s="43">
        <v>9</v>
      </c>
      <c r="C15" s="40">
        <f>36-B15</f>
        <v>27</v>
      </c>
      <c r="D15" s="43">
        <v>14</v>
      </c>
      <c r="E15" s="40">
        <f>D15*C15</f>
        <v>378</v>
      </c>
      <c r="G15" s="40" t="s">
        <v>2</v>
      </c>
      <c r="H15" s="43">
        <v>9</v>
      </c>
      <c r="I15" s="40">
        <f>36-H15</f>
        <v>27</v>
      </c>
      <c r="J15" s="43">
        <v>14</v>
      </c>
      <c r="K15" s="40">
        <f>J15*I15</f>
        <v>378</v>
      </c>
    </row>
    <row r="16" spans="1:11" ht="18">
      <c r="A16" s="40" t="s">
        <v>0</v>
      </c>
      <c r="B16" s="40">
        <f>B17-B14-B15</f>
        <v>6</v>
      </c>
      <c r="C16" s="40">
        <f>C17-C14-C15</f>
        <v>28</v>
      </c>
      <c r="D16" s="40">
        <f>E16/C16</f>
        <v>13.142857142857142</v>
      </c>
      <c r="E16" s="40">
        <f>E17-E14-E15</f>
        <v>368</v>
      </c>
      <c r="G16" s="40" t="s">
        <v>0</v>
      </c>
      <c r="H16" s="40">
        <f>H17-H14-H15</f>
        <v>10</v>
      </c>
      <c r="I16" s="40">
        <f>I17-I14-I15</f>
        <v>24</v>
      </c>
      <c r="J16" s="40">
        <f>K16/I16</f>
        <v>13</v>
      </c>
      <c r="K16" s="40">
        <f>K17-K14-K15</f>
        <v>312</v>
      </c>
    </row>
    <row r="17" spans="1:11" ht="18">
      <c r="A17" s="40" t="s">
        <v>53</v>
      </c>
      <c r="B17" s="40">
        <v>22</v>
      </c>
      <c r="C17" s="40">
        <v>84</v>
      </c>
      <c r="D17" s="40">
        <f>SUM(D14:D16)</f>
        <v>41.14285714285714</v>
      </c>
      <c r="E17" s="40">
        <v>1152</v>
      </c>
      <c r="G17" s="40" t="s">
        <v>53</v>
      </c>
      <c r="H17" s="40">
        <v>22</v>
      </c>
      <c r="I17" s="40">
        <v>84</v>
      </c>
      <c r="J17" s="40">
        <f>SUM(J14:J16)</f>
        <v>41</v>
      </c>
      <c r="K17" s="40">
        <v>1152</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1"/>
  <headerFooter alignWithMargins="0">
    <oddHeader>&amp;L&amp;"Arial,Gras"&amp;24Des exemples de répartition</oddHeader>
  </headerFooter>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A13" sqref="A13:L18"/>
    </sheetView>
  </sheetViews>
  <sheetFormatPr defaultColWidth="11.421875" defaultRowHeight="12.75"/>
  <cols>
    <col min="12" max="12" width="4.00390625" style="0" customWidth="1"/>
  </cols>
  <sheetData>
    <row r="1" spans="1:12" ht="12.75">
      <c r="A1" s="44"/>
      <c r="B1" s="45"/>
      <c r="C1" s="45"/>
      <c r="D1" s="45"/>
      <c r="E1" s="45"/>
      <c r="F1" s="45"/>
      <c r="G1" s="45"/>
      <c r="H1" s="45"/>
      <c r="I1" s="45"/>
      <c r="J1" s="45"/>
      <c r="K1" s="45"/>
      <c r="L1" s="46"/>
    </row>
    <row r="2" spans="1:12" ht="12.75">
      <c r="A2" s="129" t="s">
        <v>59</v>
      </c>
      <c r="B2" s="130"/>
      <c r="C2" s="130"/>
      <c r="D2" s="130"/>
      <c r="E2" s="130"/>
      <c r="F2" s="130"/>
      <c r="G2" s="130"/>
      <c r="H2" s="130"/>
      <c r="I2" s="130"/>
      <c r="J2" s="130"/>
      <c r="K2" s="130"/>
      <c r="L2" s="131"/>
    </row>
    <row r="3" spans="1:12" ht="12.75">
      <c r="A3" s="129"/>
      <c r="B3" s="130"/>
      <c r="C3" s="130"/>
      <c r="D3" s="130"/>
      <c r="E3" s="130"/>
      <c r="F3" s="130"/>
      <c r="G3" s="130"/>
      <c r="H3" s="130"/>
      <c r="I3" s="130"/>
      <c r="J3" s="130"/>
      <c r="K3" s="130"/>
      <c r="L3" s="131"/>
    </row>
    <row r="4" spans="1:12" ht="12.75">
      <c r="A4" s="47"/>
      <c r="B4" s="48"/>
      <c r="C4" s="48"/>
      <c r="D4" s="48"/>
      <c r="E4" s="48"/>
      <c r="F4" s="48"/>
      <c r="G4" s="48"/>
      <c r="H4" s="48"/>
      <c r="I4" s="48"/>
      <c r="J4" s="48"/>
      <c r="K4" s="48"/>
      <c r="L4" s="49"/>
    </row>
    <row r="5" spans="1:12" ht="12.75">
      <c r="A5" s="50" t="s">
        <v>55</v>
      </c>
      <c r="B5" s="51"/>
      <c r="C5" s="51"/>
      <c r="D5" s="51"/>
      <c r="E5" s="51"/>
      <c r="F5" s="51"/>
      <c r="G5" s="51"/>
      <c r="H5" s="51"/>
      <c r="I5" s="51"/>
      <c r="J5" s="51"/>
      <c r="K5" s="51"/>
      <c r="L5" s="52"/>
    </row>
    <row r="6" spans="1:12" ht="12.75">
      <c r="A6" s="50"/>
      <c r="B6" s="51"/>
      <c r="C6" s="51"/>
      <c r="D6" s="51"/>
      <c r="E6" s="51"/>
      <c r="F6" s="51"/>
      <c r="G6" s="51"/>
      <c r="H6" s="51"/>
      <c r="I6" s="51"/>
      <c r="J6" s="51"/>
      <c r="K6" s="51"/>
      <c r="L6" s="52"/>
    </row>
    <row r="7" spans="1:12" ht="12.75">
      <c r="A7" s="53" t="s">
        <v>56</v>
      </c>
      <c r="B7" s="51"/>
      <c r="C7" s="51"/>
      <c r="D7" s="51"/>
      <c r="E7" s="51"/>
      <c r="F7" s="51"/>
      <c r="G7" s="51"/>
      <c r="H7" s="51"/>
      <c r="I7" s="51"/>
      <c r="J7" s="51"/>
      <c r="K7" s="51"/>
      <c r="L7" s="52"/>
    </row>
    <row r="8" spans="1:12" ht="12.75">
      <c r="A8" s="53"/>
      <c r="B8" s="51"/>
      <c r="C8" s="51"/>
      <c r="D8" s="51"/>
      <c r="E8" s="51"/>
      <c r="F8" s="51"/>
      <c r="G8" s="51"/>
      <c r="H8" s="51"/>
      <c r="I8" s="51"/>
      <c r="J8" s="51"/>
      <c r="K8" s="51"/>
      <c r="L8" s="52"/>
    </row>
    <row r="9" spans="1:12" ht="12.75" customHeight="1">
      <c r="A9" s="129" t="s">
        <v>60</v>
      </c>
      <c r="B9" s="130"/>
      <c r="C9" s="130"/>
      <c r="D9" s="130"/>
      <c r="E9" s="130"/>
      <c r="F9" s="130"/>
      <c r="G9" s="130"/>
      <c r="H9" s="130"/>
      <c r="I9" s="130"/>
      <c r="J9" s="130"/>
      <c r="K9" s="130"/>
      <c r="L9" s="131"/>
    </row>
    <row r="10" spans="1:12" ht="12.75">
      <c r="A10" s="129"/>
      <c r="B10" s="130"/>
      <c r="C10" s="130"/>
      <c r="D10" s="130"/>
      <c r="E10" s="130"/>
      <c r="F10" s="130"/>
      <c r="G10" s="130"/>
      <c r="H10" s="130"/>
      <c r="I10" s="130"/>
      <c r="J10" s="130"/>
      <c r="K10" s="130"/>
      <c r="L10" s="131"/>
    </row>
    <row r="11" spans="1:12" ht="12.75">
      <c r="A11" s="129"/>
      <c r="B11" s="130"/>
      <c r="C11" s="130"/>
      <c r="D11" s="130"/>
      <c r="E11" s="130"/>
      <c r="F11" s="130"/>
      <c r="G11" s="130"/>
      <c r="H11" s="130"/>
      <c r="I11" s="130"/>
      <c r="J11" s="130"/>
      <c r="K11" s="130"/>
      <c r="L11" s="131"/>
    </row>
    <row r="12" spans="1:12" ht="12.75">
      <c r="A12" s="54"/>
      <c r="B12" s="55"/>
      <c r="C12" s="55"/>
      <c r="D12" s="55"/>
      <c r="E12" s="55"/>
      <c r="F12" s="55"/>
      <c r="G12" s="55"/>
      <c r="H12" s="55"/>
      <c r="I12" s="55"/>
      <c r="J12" s="55"/>
      <c r="K12" s="55"/>
      <c r="L12" s="56"/>
    </row>
    <row r="13" spans="1:12" ht="12.75" customHeight="1">
      <c r="A13" s="132" t="s">
        <v>61</v>
      </c>
      <c r="B13" s="133"/>
      <c r="C13" s="133"/>
      <c r="D13" s="133"/>
      <c r="E13" s="133"/>
      <c r="F13" s="133"/>
      <c r="G13" s="133"/>
      <c r="H13" s="133"/>
      <c r="I13" s="133"/>
      <c r="J13" s="133"/>
      <c r="K13" s="133"/>
      <c r="L13" s="134"/>
    </row>
    <row r="14" spans="1:12" ht="12.75">
      <c r="A14" s="132"/>
      <c r="B14" s="133"/>
      <c r="C14" s="133"/>
      <c r="D14" s="133"/>
      <c r="E14" s="133"/>
      <c r="F14" s="133"/>
      <c r="G14" s="133"/>
      <c r="H14" s="133"/>
      <c r="I14" s="133"/>
      <c r="J14" s="133"/>
      <c r="K14" s="133"/>
      <c r="L14" s="134"/>
    </row>
    <row r="15" spans="1:12" ht="12.75">
      <c r="A15" s="132"/>
      <c r="B15" s="133"/>
      <c r="C15" s="133"/>
      <c r="D15" s="133"/>
      <c r="E15" s="133"/>
      <c r="F15" s="133"/>
      <c r="G15" s="133"/>
      <c r="H15" s="133"/>
      <c r="I15" s="133"/>
      <c r="J15" s="133"/>
      <c r="K15" s="133"/>
      <c r="L15" s="134"/>
    </row>
    <row r="16" spans="1:12" ht="12.75">
      <c r="A16" s="132"/>
      <c r="B16" s="133"/>
      <c r="C16" s="133"/>
      <c r="D16" s="133"/>
      <c r="E16" s="133"/>
      <c r="F16" s="133"/>
      <c r="G16" s="133"/>
      <c r="H16" s="133"/>
      <c r="I16" s="133"/>
      <c r="J16" s="133"/>
      <c r="K16" s="133"/>
      <c r="L16" s="134"/>
    </row>
    <row r="17" spans="1:12" ht="12.75">
      <c r="A17" s="132"/>
      <c r="B17" s="133"/>
      <c r="C17" s="133"/>
      <c r="D17" s="133"/>
      <c r="E17" s="133"/>
      <c r="F17" s="133"/>
      <c r="G17" s="133"/>
      <c r="H17" s="133"/>
      <c r="I17" s="133"/>
      <c r="J17" s="133"/>
      <c r="K17" s="133"/>
      <c r="L17" s="134"/>
    </row>
    <row r="18" spans="1:12" ht="12.75">
      <c r="A18" s="132"/>
      <c r="B18" s="133"/>
      <c r="C18" s="133"/>
      <c r="D18" s="133"/>
      <c r="E18" s="133"/>
      <c r="F18" s="133"/>
      <c r="G18" s="133"/>
      <c r="H18" s="133"/>
      <c r="I18" s="133"/>
      <c r="J18" s="133"/>
      <c r="K18" s="133"/>
      <c r="L18" s="134"/>
    </row>
    <row r="19" spans="1:12" ht="12.75">
      <c r="A19" s="50"/>
      <c r="B19" s="51"/>
      <c r="C19" s="51"/>
      <c r="D19" s="51"/>
      <c r="E19" s="51"/>
      <c r="F19" s="51"/>
      <c r="G19" s="51"/>
      <c r="H19" s="51"/>
      <c r="I19" s="51"/>
      <c r="J19" s="51"/>
      <c r="K19" s="51"/>
      <c r="L19" s="52"/>
    </row>
    <row r="20" spans="1:12" ht="12.75">
      <c r="A20" s="129" t="s">
        <v>57</v>
      </c>
      <c r="B20" s="130"/>
      <c r="C20" s="130"/>
      <c r="D20" s="130"/>
      <c r="E20" s="130"/>
      <c r="F20" s="130"/>
      <c r="G20" s="130"/>
      <c r="H20" s="130"/>
      <c r="I20" s="130"/>
      <c r="J20" s="130"/>
      <c r="K20" s="130"/>
      <c r="L20" s="131"/>
    </row>
    <row r="21" spans="1:12" ht="12.75">
      <c r="A21" s="129"/>
      <c r="B21" s="130"/>
      <c r="C21" s="130"/>
      <c r="D21" s="130"/>
      <c r="E21" s="130"/>
      <c r="F21" s="130"/>
      <c r="G21" s="130"/>
      <c r="H21" s="130"/>
      <c r="I21" s="130"/>
      <c r="J21" s="130"/>
      <c r="K21" s="130"/>
      <c r="L21" s="131"/>
    </row>
    <row r="22" spans="1:12" ht="12.75">
      <c r="A22" s="129"/>
      <c r="B22" s="130"/>
      <c r="C22" s="130"/>
      <c r="D22" s="130"/>
      <c r="E22" s="130"/>
      <c r="F22" s="130"/>
      <c r="G22" s="130"/>
      <c r="H22" s="130"/>
      <c r="I22" s="130"/>
      <c r="J22" s="130"/>
      <c r="K22" s="130"/>
      <c r="L22" s="131"/>
    </row>
    <row r="23" spans="1:12" ht="12.75">
      <c r="A23" s="50"/>
      <c r="B23" s="51"/>
      <c r="C23" s="51"/>
      <c r="D23" s="51"/>
      <c r="E23" s="51"/>
      <c r="F23" s="51"/>
      <c r="G23" s="51"/>
      <c r="H23" s="51"/>
      <c r="I23" s="51"/>
      <c r="J23" s="51"/>
      <c r="K23" s="51"/>
      <c r="L23" s="52"/>
    </row>
    <row r="24" spans="1:12" ht="12.75">
      <c r="A24" s="50" t="s">
        <v>58</v>
      </c>
      <c r="B24" s="51"/>
      <c r="C24" s="51"/>
      <c r="D24" s="51"/>
      <c r="E24" s="51"/>
      <c r="F24" s="51"/>
      <c r="G24" s="51"/>
      <c r="H24" s="51"/>
      <c r="I24" s="51"/>
      <c r="J24" s="51"/>
      <c r="K24" s="51"/>
      <c r="L24" s="52"/>
    </row>
    <row r="25" spans="1:12" ht="12.75">
      <c r="A25" s="50"/>
      <c r="B25" s="51"/>
      <c r="C25" s="51"/>
      <c r="D25" s="51"/>
      <c r="E25" s="51"/>
      <c r="F25" s="51"/>
      <c r="G25" s="51"/>
      <c r="H25" s="51"/>
      <c r="I25" s="51"/>
      <c r="J25" s="51"/>
      <c r="K25" s="51"/>
      <c r="L25" s="52"/>
    </row>
    <row r="26" spans="1:12" ht="13.5" thickBot="1">
      <c r="A26" s="57"/>
      <c r="B26" s="58"/>
      <c r="C26" s="58"/>
      <c r="D26" s="58"/>
      <c r="E26" s="58"/>
      <c r="F26" s="58"/>
      <c r="G26" s="58"/>
      <c r="H26" s="58"/>
      <c r="I26" s="58"/>
      <c r="J26" s="58"/>
      <c r="K26" s="58"/>
      <c r="L26" s="59"/>
    </row>
  </sheetData>
  <mergeCells count="4">
    <mergeCell ref="A20:L22"/>
    <mergeCell ref="A13:L18"/>
    <mergeCell ref="A2:L3"/>
    <mergeCell ref="A9:L11"/>
  </mergeCells>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2009-02-07T06:37:28Z</cp:lastPrinted>
  <dcterms:created xsi:type="dcterms:W3CDTF">2009-01-27T13:31:34Z</dcterms:created>
  <dcterms:modified xsi:type="dcterms:W3CDTF">2009-03-22T09:29:35Z</dcterms:modified>
  <cp:category/>
  <cp:version/>
  <cp:contentType/>
  <cp:contentStatus/>
</cp:coreProperties>
</file>